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10425" tabRatio="643"/>
  </bookViews>
  <sheets>
    <sheet name="Salary Slip" sheetId="10" r:id="rId1"/>
    <sheet name="Pay Roll" sheetId="4" r:id="rId2"/>
  </sheets>
  <calcPr calcId="124519"/>
</workbook>
</file>

<file path=xl/calcChain.xml><?xml version="1.0" encoding="utf-8"?>
<calcChain xmlns="http://schemas.openxmlformats.org/spreadsheetml/2006/main">
  <c r="C94" i="10"/>
  <c r="C93"/>
  <c r="C92"/>
  <c r="C91"/>
  <c r="C90"/>
  <c r="C89"/>
  <c r="E88"/>
  <c r="F84"/>
  <c r="C80"/>
  <c r="F79"/>
  <c r="C79"/>
  <c r="F78"/>
  <c r="C78"/>
  <c r="F77"/>
  <c r="C77"/>
  <c r="F76"/>
  <c r="C76"/>
  <c r="F75"/>
  <c r="C75"/>
  <c r="C73"/>
  <c r="F72"/>
  <c r="C72"/>
  <c r="C71"/>
  <c r="F61"/>
  <c r="C57"/>
  <c r="F56"/>
  <c r="C56"/>
  <c r="F55"/>
  <c r="C55"/>
  <c r="F54"/>
  <c r="C54"/>
  <c r="F53"/>
  <c r="C53"/>
  <c r="F52"/>
  <c r="C52"/>
  <c r="C58" s="1"/>
  <c r="C50"/>
  <c r="F49"/>
  <c r="C49"/>
  <c r="C48"/>
  <c r="F40"/>
  <c r="C36"/>
  <c r="F35"/>
  <c r="C35"/>
  <c r="F34"/>
  <c r="C34"/>
  <c r="F33"/>
  <c r="C33"/>
  <c r="F32"/>
  <c r="C32"/>
  <c r="F31"/>
  <c r="F37" s="1"/>
  <c r="C31"/>
  <c r="C37" s="1"/>
  <c r="C29"/>
  <c r="F28"/>
  <c r="C28"/>
  <c r="C27"/>
  <c r="F18"/>
  <c r="C14"/>
  <c r="F13"/>
  <c r="C13"/>
  <c r="F12"/>
  <c r="C12"/>
  <c r="F11"/>
  <c r="C11"/>
  <c r="F10"/>
  <c r="C10"/>
  <c r="F9"/>
  <c r="F15" s="1"/>
  <c r="C9"/>
  <c r="C15" s="1"/>
  <c r="C7"/>
  <c r="F6"/>
  <c r="C6"/>
  <c r="C5"/>
  <c r="B98"/>
  <c r="C95"/>
  <c r="F81"/>
  <c r="C81"/>
  <c r="B65"/>
  <c r="F58"/>
  <c r="B43"/>
  <c r="B21"/>
  <c r="F59" l="1"/>
  <c r="C61" s="1"/>
  <c r="F16"/>
  <c r="C18" s="1"/>
  <c r="F38"/>
  <c r="C40" s="1"/>
  <c r="F82"/>
  <c r="C84" s="1"/>
  <c r="AF28" i="4" l="1"/>
  <c r="AD28"/>
  <c r="AC28"/>
  <c r="U28"/>
  <c r="T28"/>
  <c r="Q28"/>
  <c r="P28"/>
  <c r="O28"/>
  <c r="M28"/>
  <c r="AH27"/>
  <c r="AE27"/>
  <c r="AA27"/>
  <c r="Z27"/>
  <c r="Y27"/>
  <c r="X27"/>
  <c r="W27"/>
  <c r="V27"/>
  <c r="AB27" s="1"/>
  <c r="K27"/>
  <c r="J27"/>
  <c r="I27"/>
  <c r="H27"/>
  <c r="G27"/>
  <c r="F27"/>
  <c r="L27" s="1"/>
  <c r="AH26"/>
  <c r="AE26"/>
  <c r="AA26"/>
  <c r="Z26"/>
  <c r="Y26"/>
  <c r="X26"/>
  <c r="W26"/>
  <c r="V26"/>
  <c r="AB26" s="1"/>
  <c r="K26"/>
  <c r="J26"/>
  <c r="I26"/>
  <c r="H26"/>
  <c r="G26"/>
  <c r="F26"/>
  <c r="L26" s="1"/>
  <c r="N26" s="1"/>
  <c r="R26" s="1"/>
  <c r="S26" s="1"/>
  <c r="AH25"/>
  <c r="AE25"/>
  <c r="AA25"/>
  <c r="Z25"/>
  <c r="Y25"/>
  <c r="X25"/>
  <c r="W25"/>
  <c r="V25"/>
  <c r="K25"/>
  <c r="J25"/>
  <c r="I25"/>
  <c r="H25"/>
  <c r="G25"/>
  <c r="F25"/>
  <c r="L25" s="1"/>
  <c r="N25" s="1"/>
  <c r="R25" s="1"/>
  <c r="S25" s="1"/>
  <c r="AH24"/>
  <c r="AE24"/>
  <c r="AA24"/>
  <c r="Z24"/>
  <c r="Y24"/>
  <c r="X24"/>
  <c r="W24"/>
  <c r="V24"/>
  <c r="K24"/>
  <c r="J24"/>
  <c r="I24"/>
  <c r="H24"/>
  <c r="G24"/>
  <c r="F24"/>
  <c r="AH23"/>
  <c r="AE23"/>
  <c r="AA23"/>
  <c r="Z23"/>
  <c r="Y23"/>
  <c r="X23"/>
  <c r="W23"/>
  <c r="V23"/>
  <c r="K23"/>
  <c r="J23"/>
  <c r="I23"/>
  <c r="H23"/>
  <c r="G23"/>
  <c r="F23"/>
  <c r="L23"/>
  <c r="AH22"/>
  <c r="AE22"/>
  <c r="AA22"/>
  <c r="Z22"/>
  <c r="Y22"/>
  <c r="X22"/>
  <c r="W22"/>
  <c r="V22"/>
  <c r="AB22" s="1"/>
  <c r="K22"/>
  <c r="J22"/>
  <c r="I22"/>
  <c r="H22"/>
  <c r="G22"/>
  <c r="F22"/>
  <c r="L22" s="1"/>
  <c r="N22" s="1"/>
  <c r="R22" s="1"/>
  <c r="S22" s="1"/>
  <c r="AH21"/>
  <c r="AE21"/>
  <c r="AA21"/>
  <c r="Z21"/>
  <c r="Y21"/>
  <c r="X21"/>
  <c r="W21"/>
  <c r="V21"/>
  <c r="K21"/>
  <c r="J21"/>
  <c r="I21"/>
  <c r="H21"/>
  <c r="G21"/>
  <c r="F21"/>
  <c r="L21" s="1"/>
  <c r="N21" s="1"/>
  <c r="R21" s="1"/>
  <c r="S21" s="1"/>
  <c r="AH20"/>
  <c r="AA20"/>
  <c r="Z20"/>
  <c r="Y20"/>
  <c r="X20"/>
  <c r="W20"/>
  <c r="V20"/>
  <c r="K20"/>
  <c r="J20"/>
  <c r="I20"/>
  <c r="H20"/>
  <c r="G20"/>
  <c r="F20"/>
  <c r="AE19"/>
  <c r="AA19"/>
  <c r="Z19"/>
  <c r="Y19"/>
  <c r="X19"/>
  <c r="W19"/>
  <c r="V19"/>
  <c r="K19"/>
  <c r="J19"/>
  <c r="I19"/>
  <c r="H19"/>
  <c r="G19"/>
  <c r="F19"/>
  <c r="AH18"/>
  <c r="AA18"/>
  <c r="Z18"/>
  <c r="Y18"/>
  <c r="X18"/>
  <c r="W18"/>
  <c r="V18"/>
  <c r="K18"/>
  <c r="J18"/>
  <c r="I18"/>
  <c r="H18"/>
  <c r="G18"/>
  <c r="F18"/>
  <c r="AE17"/>
  <c r="AA17"/>
  <c r="Z17"/>
  <c r="Y17"/>
  <c r="X17"/>
  <c r="W17"/>
  <c r="V17"/>
  <c r="K17"/>
  <c r="J17"/>
  <c r="I17"/>
  <c r="H17"/>
  <c r="G17"/>
  <c r="F17"/>
  <c r="L17"/>
  <c r="AE16"/>
  <c r="AA16"/>
  <c r="Z16"/>
  <c r="Y16"/>
  <c r="X16"/>
  <c r="W16"/>
  <c r="V16"/>
  <c r="K16"/>
  <c r="J16"/>
  <c r="I16"/>
  <c r="H16"/>
  <c r="G16"/>
  <c r="F16"/>
  <c r="AE15"/>
  <c r="AA15"/>
  <c r="Z15"/>
  <c r="Y15"/>
  <c r="X15"/>
  <c r="W15"/>
  <c r="V15"/>
  <c r="AB15" s="1"/>
  <c r="K15"/>
  <c r="J15"/>
  <c r="I15"/>
  <c r="H15"/>
  <c r="G15"/>
  <c r="F15"/>
  <c r="L15" s="1"/>
  <c r="N15" s="1"/>
  <c r="R15" s="1"/>
  <c r="S15" s="1"/>
  <c r="AE14"/>
  <c r="AA14"/>
  <c r="Z14"/>
  <c r="Y14"/>
  <c r="X14"/>
  <c r="W14"/>
  <c r="V14"/>
  <c r="K14"/>
  <c r="J14"/>
  <c r="I14"/>
  <c r="H14"/>
  <c r="G14"/>
  <c r="F14"/>
  <c r="AE13"/>
  <c r="AA13"/>
  <c r="Z13"/>
  <c r="Y13"/>
  <c r="X13"/>
  <c r="W13"/>
  <c r="V13"/>
  <c r="K13"/>
  <c r="J13"/>
  <c r="I13"/>
  <c r="H13"/>
  <c r="G13"/>
  <c r="F13"/>
  <c r="L13" s="1"/>
  <c r="N13" s="1"/>
  <c r="R13" s="1"/>
  <c r="S13" s="1"/>
  <c r="AE12"/>
  <c r="AA12"/>
  <c r="Z12"/>
  <c r="Y12"/>
  <c r="X12"/>
  <c r="W12"/>
  <c r="V12"/>
  <c r="K12"/>
  <c r="J12"/>
  <c r="I12"/>
  <c r="H12"/>
  <c r="G12"/>
  <c r="F12"/>
  <c r="AE11"/>
  <c r="AA11"/>
  <c r="Z11"/>
  <c r="Y11"/>
  <c r="X11"/>
  <c r="W11"/>
  <c r="V11"/>
  <c r="K11"/>
  <c r="J11"/>
  <c r="I11"/>
  <c r="H11"/>
  <c r="G11"/>
  <c r="F11"/>
  <c r="AE10"/>
  <c r="AA10"/>
  <c r="Z10"/>
  <c r="Y10"/>
  <c r="X10"/>
  <c r="W10"/>
  <c r="V10"/>
  <c r="K10"/>
  <c r="J10"/>
  <c r="I10"/>
  <c r="H10"/>
  <c r="G10"/>
  <c r="F10"/>
  <c r="AE9"/>
  <c r="AA9"/>
  <c r="Z9"/>
  <c r="Y9"/>
  <c r="X9"/>
  <c r="W9"/>
  <c r="V9"/>
  <c r="K9"/>
  <c r="J9"/>
  <c r="I9"/>
  <c r="H9"/>
  <c r="G9"/>
  <c r="F9"/>
  <c r="L9"/>
  <c r="AE8"/>
  <c r="AA8"/>
  <c r="AA28" s="1"/>
  <c r="Z8"/>
  <c r="Y8"/>
  <c r="Y28" s="1"/>
  <c r="X8"/>
  <c r="W8"/>
  <c r="W28" s="1"/>
  <c r="V8"/>
  <c r="K8"/>
  <c r="K28" s="1"/>
  <c r="J8"/>
  <c r="I8"/>
  <c r="I28" s="1"/>
  <c r="H8"/>
  <c r="H28" s="1"/>
  <c r="G8"/>
  <c r="G28" s="1"/>
  <c r="F8"/>
  <c r="F28" s="1"/>
  <c r="V4"/>
  <c r="V3"/>
  <c r="J28"/>
  <c r="V28"/>
  <c r="X28"/>
  <c r="Z28"/>
  <c r="AE28"/>
  <c r="L10"/>
  <c r="AB10"/>
  <c r="L12"/>
  <c r="N12" s="1"/>
  <c r="R12" s="1"/>
  <c r="S12" s="1"/>
  <c r="AB12"/>
  <c r="L14"/>
  <c r="N14" s="1"/>
  <c r="R14" s="1"/>
  <c r="S14" s="1"/>
  <c r="AB14"/>
  <c r="L16"/>
  <c r="AB16"/>
  <c r="L18"/>
  <c r="AB18"/>
  <c r="L20"/>
  <c r="N20" s="1"/>
  <c r="R20" s="1"/>
  <c r="S20" s="1"/>
  <c r="AB20"/>
  <c r="N10"/>
  <c r="R10" s="1"/>
  <c r="S10" s="1"/>
  <c r="AG12"/>
  <c r="AI12" s="1"/>
  <c r="AG14"/>
  <c r="AI14" s="1"/>
  <c r="N16"/>
  <c r="R16" s="1"/>
  <c r="S16" s="1"/>
  <c r="AG16"/>
  <c r="AI16" s="1"/>
  <c r="N18"/>
  <c r="R18" s="1"/>
  <c r="S18" s="1"/>
  <c r="AG20"/>
  <c r="AI20" s="1"/>
  <c r="N9"/>
  <c r="R9" s="1"/>
  <c r="S9" s="1"/>
  <c r="N17"/>
  <c r="R17" s="1"/>
  <c r="S17" s="1"/>
  <c r="N23"/>
  <c r="R23" s="1"/>
  <c r="S23" s="1"/>
  <c r="AB8"/>
  <c r="AG18" l="1"/>
  <c r="AI18" s="1"/>
  <c r="AG10"/>
  <c r="AI10" s="1"/>
  <c r="L11"/>
  <c r="N11" s="1"/>
  <c r="R11" s="1"/>
  <c r="S11" s="1"/>
  <c r="AB11"/>
  <c r="L19"/>
  <c r="N19" s="1"/>
  <c r="R19" s="1"/>
  <c r="S19" s="1"/>
  <c r="AB19"/>
  <c r="L24"/>
  <c r="N24" s="1"/>
  <c r="R24" s="1"/>
  <c r="S24" s="1"/>
  <c r="AB24"/>
  <c r="L8"/>
  <c r="AB9"/>
  <c r="AG9" s="1"/>
  <c r="AB13"/>
  <c r="AG13" s="1"/>
  <c r="AI13" s="1"/>
  <c r="AB17"/>
  <c r="AG17" s="1"/>
  <c r="AI17" s="1"/>
  <c r="AB21"/>
  <c r="AG21" s="1"/>
  <c r="AI21" s="1"/>
  <c r="AB23"/>
  <c r="AG23" s="1"/>
  <c r="AI23" s="1"/>
  <c r="AB25"/>
  <c r="AG25" s="1"/>
  <c r="AI25" s="1"/>
  <c r="AG11"/>
  <c r="AI11" s="1"/>
  <c r="AG15"/>
  <c r="AI15" s="1"/>
  <c r="AG19"/>
  <c r="AI19" s="1"/>
  <c r="AG22"/>
  <c r="AI22" s="1"/>
  <c r="AG26"/>
  <c r="AI26" s="1"/>
  <c r="AI9"/>
  <c r="N27"/>
  <c r="R27" s="1"/>
  <c r="AG27"/>
  <c r="AI27" s="1"/>
  <c r="L28"/>
  <c r="AG24" l="1"/>
  <c r="AI24" s="1"/>
  <c r="AB28"/>
  <c r="N8"/>
  <c r="AG8"/>
  <c r="AI8" s="1"/>
  <c r="S27"/>
  <c r="AG28"/>
  <c r="R8" l="1"/>
  <c r="N28"/>
  <c r="S8" l="1"/>
  <c r="S28" s="1"/>
  <c r="R28"/>
</calcChain>
</file>

<file path=xl/sharedStrings.xml><?xml version="1.0" encoding="utf-8"?>
<sst xmlns="http://schemas.openxmlformats.org/spreadsheetml/2006/main" count="297" uniqueCount="133">
  <si>
    <t>NAMES</t>
  </si>
  <si>
    <t>AMOUNT</t>
  </si>
  <si>
    <t>S.NO.</t>
  </si>
  <si>
    <t>DESIGNATION</t>
  </si>
  <si>
    <t>EARNINGS</t>
  </si>
  <si>
    <t>TOTAL</t>
  </si>
  <si>
    <t>DEDUCTIONS</t>
  </si>
  <si>
    <t xml:space="preserve">TOTAL </t>
  </si>
  <si>
    <t>NET</t>
  </si>
  <si>
    <t>Mode of</t>
  </si>
  <si>
    <t>Reimbursements</t>
  </si>
  <si>
    <t>Total</t>
  </si>
  <si>
    <t>LTA</t>
  </si>
  <si>
    <t>Incentive</t>
  </si>
  <si>
    <t xml:space="preserve">P.F </t>
  </si>
  <si>
    <t xml:space="preserve">E.S.I </t>
  </si>
  <si>
    <t>30</t>
  </si>
  <si>
    <t>BASIC</t>
  </si>
  <si>
    <t>H.R.A.</t>
  </si>
  <si>
    <t>MEDICAL</t>
  </si>
  <si>
    <t>CCA</t>
  </si>
  <si>
    <t>SPL. ALL</t>
  </si>
  <si>
    <t>P.Fund</t>
  </si>
  <si>
    <t>E.S.I.</t>
  </si>
  <si>
    <t>TDS</t>
  </si>
  <si>
    <t>Advance</t>
  </si>
  <si>
    <t xml:space="preserve"> DED</t>
  </si>
  <si>
    <t xml:space="preserve"> PAYABLE</t>
  </si>
  <si>
    <t>Pyt</t>
  </si>
  <si>
    <t>Account no.</t>
  </si>
  <si>
    <t>Client Ent.</t>
  </si>
  <si>
    <t>n &amp; p</t>
  </si>
  <si>
    <t>Contribution</t>
  </si>
  <si>
    <t>T/F</t>
  </si>
  <si>
    <t>Total Mumbai</t>
  </si>
  <si>
    <t>Emp.Code</t>
  </si>
  <si>
    <t>SALARY FOR THE MONTH OF SEPTEMBER-2010</t>
  </si>
  <si>
    <t>Date of Joining</t>
  </si>
  <si>
    <t>DAYS</t>
  </si>
  <si>
    <t>Reim.</t>
  </si>
  <si>
    <t>Con.Allowance</t>
  </si>
  <si>
    <t>proff. Tax</t>
  </si>
  <si>
    <t>Mob</t>
  </si>
  <si>
    <t>Con</t>
  </si>
  <si>
    <t>Medical</t>
  </si>
  <si>
    <t>Anchor</t>
  </si>
  <si>
    <t>B00445</t>
  </si>
  <si>
    <t>B00552</t>
  </si>
  <si>
    <t>B00608</t>
  </si>
  <si>
    <t>B00778</t>
  </si>
  <si>
    <t>B00811</t>
  </si>
  <si>
    <t>B00818</t>
  </si>
  <si>
    <t>B00819</t>
  </si>
  <si>
    <t>B00826</t>
  </si>
  <si>
    <t>B00829</t>
  </si>
  <si>
    <t>B00851</t>
  </si>
  <si>
    <t>B00883</t>
  </si>
  <si>
    <t>B00903</t>
  </si>
  <si>
    <t>March 10,08</t>
  </si>
  <si>
    <t>B00549</t>
  </si>
  <si>
    <t>B01013</t>
  </si>
  <si>
    <t>B01046</t>
  </si>
  <si>
    <t>B01062</t>
  </si>
  <si>
    <t>B01222</t>
  </si>
  <si>
    <t>B01281</t>
  </si>
  <si>
    <t>20..02.2009</t>
  </si>
  <si>
    <t>B00853</t>
  </si>
  <si>
    <t>07.02.2009</t>
  </si>
  <si>
    <t>B01388</t>
  </si>
  <si>
    <t>26.11.2009</t>
  </si>
  <si>
    <t>SR. TECHNICIAN</t>
  </si>
  <si>
    <t xml:space="preserve">Total </t>
  </si>
  <si>
    <t xml:space="preserve">EMPLOYEE NAME : </t>
  </si>
  <si>
    <t>DATE OF JOINING :</t>
  </si>
  <si>
    <t xml:space="preserve">Date :- </t>
  </si>
  <si>
    <t xml:space="preserve">Signature - Accounts Manager </t>
  </si>
  <si>
    <t xml:space="preserve">SALARY SLIP FOR MONTH OF </t>
  </si>
  <si>
    <t xml:space="preserve"> EMPLOYEE CODE :</t>
  </si>
  <si>
    <t>DESIGNATION    :</t>
  </si>
  <si>
    <t>WORKING DAYS IN THE MONTH :</t>
  </si>
  <si>
    <t>PROVIDENT FUND</t>
  </si>
  <si>
    <t>H. R. A.</t>
  </si>
  <si>
    <t>E. S. I. C.</t>
  </si>
  <si>
    <t>CONVEYANCE ALLOWANCE</t>
  </si>
  <si>
    <t>TAX DEDUCTED AT SOURCE</t>
  </si>
  <si>
    <t>PROFESSION TAX</t>
  </si>
  <si>
    <t>C. C. A.</t>
  </si>
  <si>
    <t xml:space="preserve">ADVANCE DEDUCTION </t>
  </si>
  <si>
    <t>SPECIAL ALLOWANCE</t>
  </si>
  <si>
    <t>TOTAL EARNINGS</t>
  </si>
  <si>
    <t>TOTAL DEDUCTIONS</t>
  </si>
  <si>
    <t>NET AMOUNT PAID</t>
  </si>
  <si>
    <t>AMOUNT OF RS.</t>
  </si>
  <si>
    <t xml:space="preserve">TRANSFER TO HDFC BANK A/C NO. </t>
  </si>
  <si>
    <t xml:space="preserve">Apart from above monthly cash reimbursements are as follows </t>
  </si>
  <si>
    <t xml:space="preserve">Mobile </t>
  </si>
  <si>
    <t xml:space="preserve">Actual Bill Amt. </t>
  </si>
  <si>
    <t xml:space="preserve">FBT of Rs. </t>
  </si>
  <si>
    <t xml:space="preserve">Conveyance </t>
  </si>
  <si>
    <t xml:space="preserve">Client Entertainment </t>
  </si>
  <si>
    <t xml:space="preserve">Vehicle Maint. </t>
  </si>
  <si>
    <t xml:space="preserve">Driver's Salary </t>
  </si>
  <si>
    <t xml:space="preserve">News Paper &amp; Periodicals </t>
  </si>
  <si>
    <t xml:space="preserve">Petrol </t>
  </si>
  <si>
    <t>SEPTEMBER,2010</t>
  </si>
  <si>
    <t>ABC LIMITED</t>
  </si>
  <si>
    <t>XYZ</t>
  </si>
  <si>
    <t>ABC</t>
  </si>
  <si>
    <t>AAAA</t>
  </si>
  <si>
    <t>SSSS</t>
  </si>
  <si>
    <t>DDDD</t>
  </si>
  <si>
    <t>CCCC</t>
  </si>
  <si>
    <t>GGGG</t>
  </si>
  <si>
    <t>HHHHH</t>
  </si>
  <si>
    <t>JJJJJ</t>
  </si>
  <si>
    <t>KKKKK</t>
  </si>
  <si>
    <t>UUUUU</t>
  </si>
  <si>
    <t>WWWW</t>
  </si>
  <si>
    <t>QQQQQ</t>
  </si>
  <si>
    <t>WWWR</t>
  </si>
  <si>
    <t>TTTTT</t>
  </si>
  <si>
    <t>YYYY</t>
  </si>
  <si>
    <t>UUUUI</t>
  </si>
  <si>
    <t>OOOO</t>
  </si>
  <si>
    <t>PPPPPP</t>
  </si>
  <si>
    <t>UYUYU</t>
  </si>
  <si>
    <t>MANAGER</t>
  </si>
  <si>
    <t>ASST. MANAGER</t>
  </si>
  <si>
    <t xml:space="preserve">EXECUTIVE </t>
  </si>
  <si>
    <t xml:space="preserve">SR. EXECUTIVE </t>
  </si>
  <si>
    <t xml:space="preserve">SR. MANAGER </t>
  </si>
  <si>
    <t>0</t>
  </si>
  <si>
    <t xml:space="preserve">ABC LIMITED 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</si>
</sst>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mmm\ d&quot;, &quot;yy"/>
    <numFmt numFmtId="169" formatCode="[$-409]dd\-mmm\-yy;@"/>
    <numFmt numFmtId="170" formatCode="[$-409]mmmm\-yy;@"/>
    <numFmt numFmtId="171" formatCode="[$-409]d\-mmm\-yyyy;@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9"/>
      <name val="Verdana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u/>
      <sz val="10"/>
      <name val="Verdana"/>
      <family val="2"/>
    </font>
    <font>
      <sz val="9"/>
      <name val="Arial"/>
    </font>
    <font>
      <sz val="7.5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9"/>
      <name val="Arial"/>
    </font>
    <font>
      <b/>
      <u/>
      <sz val="9"/>
      <name val="Verdana"/>
      <family val="2"/>
    </font>
    <font>
      <b/>
      <u/>
      <sz val="9"/>
      <name val="Arial"/>
    </font>
    <font>
      <sz val="8"/>
      <name val="Verdana"/>
      <family val="2"/>
    </font>
    <font>
      <sz val="8.5"/>
      <name val="Verdana"/>
      <family val="2"/>
    </font>
    <font>
      <sz val="7.75"/>
      <name val="Verdana"/>
      <family val="2"/>
    </font>
    <font>
      <b/>
      <sz val="9"/>
      <name val="Arial"/>
    </font>
    <font>
      <b/>
      <sz val="9"/>
      <name val="Verdana"/>
      <family val="2"/>
    </font>
    <font>
      <b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59">
    <xf numFmtId="0" fontId="0" fillId="0" borderId="0" xfId="0"/>
    <xf numFmtId="0" fontId="5" fillId="0" borderId="0" xfId="0" applyFont="1" applyFill="1" applyBorder="1"/>
    <xf numFmtId="0" fontId="5" fillId="0" borderId="0" xfId="0" applyFont="1" applyBorder="1"/>
    <xf numFmtId="0" fontId="2" fillId="0" borderId="0" xfId="2" applyNumberFormat="1" applyFont="1" applyFill="1" applyBorder="1"/>
    <xf numFmtId="0" fontId="3" fillId="2" borderId="1" xfId="3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3" fillId="0" borderId="4" xfId="3" applyFont="1" applyBorder="1"/>
    <xf numFmtId="0" fontId="3" fillId="0" borderId="12" xfId="3" applyFont="1" applyFill="1" applyBorder="1" applyAlignment="1">
      <alignment horizontal="center"/>
    </xf>
    <xf numFmtId="49" fontId="3" fillId="0" borderId="3" xfId="3" applyNumberFormat="1" applyFont="1" applyFill="1" applyBorder="1" applyAlignment="1">
      <alignment horizontal="center"/>
    </xf>
    <xf numFmtId="9" fontId="3" fillId="0" borderId="3" xfId="3" applyNumberFormat="1" applyFont="1" applyFill="1" applyBorder="1" applyAlignment="1">
      <alignment horizontal="center"/>
    </xf>
    <xf numFmtId="9" fontId="3" fillId="0" borderId="13" xfId="3" applyNumberFormat="1" applyFont="1" applyFill="1" applyBorder="1" applyAlignment="1">
      <alignment horizontal="center"/>
    </xf>
    <xf numFmtId="9" fontId="3" fillId="0" borderId="14" xfId="3" applyNumberFormat="1" applyFont="1" applyFill="1" applyBorder="1" applyAlignment="1">
      <alignment horizontal="center"/>
    </xf>
    <xf numFmtId="0" fontId="3" fillId="0" borderId="6" xfId="3" applyFont="1" applyFill="1" applyBorder="1"/>
    <xf numFmtId="0" fontId="3" fillId="0" borderId="8" xfId="3" applyFont="1" applyBorder="1"/>
    <xf numFmtId="164" fontId="2" fillId="0" borderId="0" xfId="2" applyFont="1" applyFill="1" applyBorder="1" applyAlignment="1">
      <alignment horizontal="center"/>
    </xf>
    <xf numFmtId="49" fontId="2" fillId="0" borderId="0" xfId="2" applyNumberFormat="1" applyFont="1" applyFill="1" applyBorder="1" applyAlignment="1">
      <alignment horizontal="center"/>
    </xf>
    <xf numFmtId="43" fontId="2" fillId="0" borderId="0" xfId="1" applyFont="1" applyFill="1" applyBorder="1"/>
    <xf numFmtId="43" fontId="2" fillId="0" borderId="0" xfId="1" applyNumberFormat="1" applyFont="1" applyFill="1" applyBorder="1"/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/>
    <xf numFmtId="1" fontId="2" fillId="0" borderId="0" xfId="1" applyNumberFormat="1" applyFont="1" applyFill="1" applyBorder="1"/>
    <xf numFmtId="49" fontId="2" fillId="0" borderId="0" xfId="3" applyNumberFormat="1" applyFont="1" applyBorder="1" applyAlignment="1">
      <alignment horizontal="center"/>
    </xf>
    <xf numFmtId="0" fontId="2" fillId="0" borderId="0" xfId="3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67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5" xfId="3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2" fillId="0" borderId="5" xfId="3" applyNumberFormat="1" applyFont="1" applyBorder="1"/>
    <xf numFmtId="43" fontId="2" fillId="0" borderId="0" xfId="3" applyNumberFormat="1" applyFont="1"/>
    <xf numFmtId="0" fontId="3" fillId="2" borderId="8" xfId="3" applyFont="1" applyFill="1" applyBorder="1" applyAlignment="1">
      <alignment horizontal="center"/>
    </xf>
    <xf numFmtId="9" fontId="3" fillId="0" borderId="17" xfId="3" applyNumberFormat="1" applyFont="1" applyFill="1" applyBorder="1" applyAlignment="1">
      <alignment horizontal="center"/>
    </xf>
    <xf numFmtId="0" fontId="2" fillId="3" borderId="0" xfId="3" applyFont="1" applyFill="1"/>
    <xf numFmtId="0" fontId="2" fillId="0" borderId="0" xfId="3" applyFont="1"/>
    <xf numFmtId="0" fontId="2" fillId="0" borderId="0" xfId="3" applyFont="1" applyAlignment="1">
      <alignment horizontal="center"/>
    </xf>
    <xf numFmtId="49" fontId="2" fillId="0" borderId="0" xfId="3" applyNumberFormat="1" applyFont="1"/>
    <xf numFmtId="0" fontId="2" fillId="0" borderId="10" xfId="3" applyFont="1" applyFill="1" applyBorder="1"/>
    <xf numFmtId="0" fontId="2" fillId="2" borderId="10" xfId="3" applyFont="1" applyFill="1" applyBorder="1"/>
    <xf numFmtId="0" fontId="2" fillId="2" borderId="11" xfId="3" applyFont="1" applyFill="1" applyBorder="1"/>
    <xf numFmtId="0" fontId="3" fillId="2" borderId="0" xfId="3" applyFont="1" applyFill="1" applyBorder="1" applyAlignment="1"/>
    <xf numFmtId="0" fontId="3" fillId="2" borderId="5" xfId="3" applyFont="1" applyFill="1" applyBorder="1" applyAlignment="1"/>
    <xf numFmtId="0" fontId="6" fillId="2" borderId="0" xfId="3" applyFont="1" applyFill="1" applyBorder="1" applyAlignment="1"/>
    <xf numFmtId="0" fontId="6" fillId="2" borderId="5" xfId="3" applyFont="1" applyFill="1" applyBorder="1" applyAlignment="1"/>
    <xf numFmtId="0" fontId="2" fillId="2" borderId="6" xfId="3" applyFont="1" applyFill="1" applyBorder="1"/>
    <xf numFmtId="0" fontId="2" fillId="0" borderId="8" xfId="3" applyFont="1" applyBorder="1"/>
    <xf numFmtId="49" fontId="3" fillId="0" borderId="0" xfId="3" applyNumberFormat="1" applyFont="1" applyBorder="1"/>
    <xf numFmtId="0" fontId="3" fillId="2" borderId="12" xfId="3" applyFont="1" applyFill="1" applyBorder="1" applyAlignment="1">
      <alignment horizontal="center"/>
    </xf>
    <xf numFmtId="9" fontId="3" fillId="0" borderId="12" xfId="3" applyNumberFormat="1" applyFont="1" applyFill="1" applyBorder="1" applyAlignment="1">
      <alignment horizontal="center"/>
    </xf>
    <xf numFmtId="9" fontId="3" fillId="2" borderId="12" xfId="3" applyNumberFormat="1" applyFont="1" applyFill="1" applyBorder="1" applyAlignment="1">
      <alignment horizontal="center"/>
    </xf>
    <xf numFmtId="9" fontId="3" fillId="0" borderId="6" xfId="3" applyNumberFormat="1" applyFont="1" applyFill="1" applyBorder="1" applyAlignment="1">
      <alignment horizontal="center"/>
    </xf>
    <xf numFmtId="0" fontId="3" fillId="0" borderId="2" xfId="3" applyFont="1" applyFill="1" applyBorder="1"/>
    <xf numFmtId="43" fontId="2" fillId="0" borderId="0" xfId="1" applyNumberFormat="1" applyFont="1" applyFill="1" applyBorder="1" applyAlignment="1">
      <alignment horizontal="right"/>
    </xf>
    <xf numFmtId="43" fontId="2" fillId="0" borderId="0" xfId="3" applyNumberFormat="1" applyFont="1" applyBorder="1"/>
    <xf numFmtId="166" fontId="2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164" fontId="8" fillId="0" borderId="3" xfId="2" applyFont="1" applyFill="1" applyBorder="1"/>
    <xf numFmtId="43" fontId="8" fillId="0" borderId="3" xfId="1" applyFont="1" applyFill="1" applyBorder="1"/>
    <xf numFmtId="1" fontId="2" fillId="0" borderId="5" xfId="3" quotePrefix="1" applyNumberFormat="1" applyFont="1" applyFill="1" applyBorder="1" applyAlignment="1">
      <alignment horizontal="center"/>
    </xf>
    <xf numFmtId="43" fontId="2" fillId="0" borderId="0" xfId="1" applyNumberFormat="1" applyFont="1" applyFill="1"/>
    <xf numFmtId="165" fontId="2" fillId="0" borderId="0" xfId="1" applyNumberFormat="1" applyFont="1" applyFill="1"/>
    <xf numFmtId="0" fontId="2" fillId="4" borderId="0" xfId="0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2" fillId="0" borderId="0" xfId="0" applyNumberFormat="1" applyFont="1" applyFill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Border="1"/>
    <xf numFmtId="166" fontId="9" fillId="0" borderId="3" xfId="1" applyNumberFormat="1" applyFont="1" applyFill="1" applyBorder="1" applyAlignment="1">
      <alignment horizontal="center"/>
    </xf>
    <xf numFmtId="49" fontId="9" fillId="0" borderId="3" xfId="2" applyNumberFormat="1" applyFont="1" applyFill="1" applyBorder="1" applyAlignment="1">
      <alignment horizontal="center"/>
    </xf>
    <xf numFmtId="0" fontId="10" fillId="0" borderId="0" xfId="0" applyFont="1" applyBorder="1"/>
    <xf numFmtId="43" fontId="10" fillId="0" borderId="0" xfId="3" applyNumberFormat="1" applyFont="1"/>
    <xf numFmtId="0" fontId="10" fillId="0" borderId="0" xfId="3" applyFont="1" applyBorder="1"/>
    <xf numFmtId="165" fontId="2" fillId="0" borderId="0" xfId="1" applyNumberFormat="1" applyFont="1" applyFill="1" applyBorder="1" applyAlignment="1">
      <alignment horizontal="right"/>
    </xf>
    <xf numFmtId="0" fontId="2" fillId="3" borderId="0" xfId="3" applyFont="1" applyFill="1" applyBorder="1"/>
    <xf numFmtId="0" fontId="2" fillId="3" borderId="0" xfId="3" applyFont="1" applyFill="1" applyBorder="1" applyAlignment="1">
      <alignment horizontal="center"/>
    </xf>
    <xf numFmtId="49" fontId="2" fillId="3" borderId="0" xfId="3" applyNumberFormat="1" applyFont="1" applyFill="1" applyBorder="1"/>
    <xf numFmtId="43" fontId="2" fillId="3" borderId="0" xfId="1" applyFont="1" applyFill="1" applyBorder="1"/>
    <xf numFmtId="43" fontId="2" fillId="3" borderId="0" xfId="1" applyNumberFormat="1" applyFont="1" applyFill="1" applyBorder="1"/>
    <xf numFmtId="165" fontId="2" fillId="3" borderId="0" xfId="1" applyNumberFormat="1" applyFont="1" applyFill="1" applyBorder="1"/>
    <xf numFmtId="43" fontId="2" fillId="3" borderId="0" xfId="3" applyNumberFormat="1" applyFont="1" applyFill="1" applyBorder="1"/>
    <xf numFmtId="0" fontId="15" fillId="0" borderId="0" xfId="5" applyFont="1" applyBorder="1" applyProtection="1">
      <protection hidden="1"/>
    </xf>
    <xf numFmtId="0" fontId="7" fillId="0" borderId="0" xfId="5" applyFont="1" applyBorder="1" applyAlignment="1" applyProtection="1">
      <protection hidden="1"/>
    </xf>
    <xf numFmtId="0" fontId="15" fillId="0" borderId="18" xfId="5" applyFont="1" applyBorder="1" applyProtection="1">
      <protection hidden="1"/>
    </xf>
    <xf numFmtId="0" fontId="19" fillId="0" borderId="19" xfId="5" applyFont="1" applyBorder="1" applyProtection="1">
      <protection hidden="1"/>
    </xf>
    <xf numFmtId="0" fontId="15" fillId="0" borderId="20" xfId="5" applyFont="1" applyBorder="1" applyProtection="1">
      <protection hidden="1"/>
    </xf>
    <xf numFmtId="0" fontId="15" fillId="0" borderId="16" xfId="5" applyFont="1" applyBorder="1" applyProtection="1">
      <protection hidden="1"/>
    </xf>
    <xf numFmtId="0" fontId="15" fillId="0" borderId="15" xfId="5" applyFont="1" applyBorder="1" applyProtection="1">
      <protection hidden="1"/>
    </xf>
    <xf numFmtId="170" fontId="20" fillId="0" borderId="0" xfId="5" applyNumberFormat="1" applyFont="1" applyBorder="1" applyAlignment="1" applyProtection="1">
      <protection locked="0"/>
    </xf>
    <xf numFmtId="0" fontId="21" fillId="0" borderId="0" xfId="5" applyFont="1" applyBorder="1" applyAlignment="1" applyProtection="1">
      <protection hidden="1"/>
    </xf>
    <xf numFmtId="0" fontId="7" fillId="0" borderId="0" xfId="5" applyFont="1" applyBorder="1" applyAlignment="1" applyProtection="1">
      <alignment horizontal="right"/>
      <protection hidden="1"/>
    </xf>
    <xf numFmtId="0" fontId="2" fillId="0" borderId="0" xfId="7" applyFont="1" applyFill="1" applyBorder="1" applyAlignment="1">
      <alignment horizontal="center"/>
    </xf>
    <xf numFmtId="171" fontId="7" fillId="0" borderId="0" xfId="5" applyNumberFormat="1" applyFont="1" applyBorder="1" applyProtection="1">
      <protection hidden="1"/>
    </xf>
    <xf numFmtId="166" fontId="15" fillId="0" borderId="0" xfId="5" applyNumberFormat="1" applyFont="1" applyBorder="1" applyAlignment="1" applyProtection="1">
      <protection hidden="1"/>
    </xf>
    <xf numFmtId="0" fontId="16" fillId="0" borderId="0" xfId="5" applyFont="1" applyBorder="1" applyAlignment="1" applyProtection="1">
      <alignment horizontal="right"/>
      <protection hidden="1"/>
    </xf>
    <xf numFmtId="0" fontId="21" fillId="0" borderId="0" xfId="5" applyFont="1" applyBorder="1" applyAlignment="1" applyProtection="1">
      <alignment horizontal="left"/>
      <protection hidden="1"/>
    </xf>
    <xf numFmtId="0" fontId="21" fillId="0" borderId="0" xfId="5" applyFont="1" applyBorder="1" applyAlignment="1" applyProtection="1">
      <alignment horizontal="right"/>
      <protection hidden="1"/>
    </xf>
    <xf numFmtId="0" fontId="13" fillId="0" borderId="0" xfId="5" applyBorder="1" applyProtection="1">
      <protection hidden="1"/>
    </xf>
    <xf numFmtId="0" fontId="7" fillId="0" borderId="21" xfId="5" applyFont="1" applyBorder="1" applyProtection="1">
      <protection hidden="1"/>
    </xf>
    <xf numFmtId="165" fontId="17" fillId="0" borderId="21" xfId="6" applyNumberFormat="1" applyFont="1" applyBorder="1" applyProtection="1">
      <protection hidden="1"/>
    </xf>
    <xf numFmtId="165" fontId="22" fillId="0" borderId="21" xfId="6" applyNumberFormat="1" applyFont="1" applyBorder="1" applyProtection="1">
      <protection hidden="1"/>
    </xf>
    <xf numFmtId="0" fontId="23" fillId="0" borderId="21" xfId="5" applyFont="1" applyBorder="1" applyProtection="1">
      <protection hidden="1"/>
    </xf>
    <xf numFmtId="165" fontId="24" fillId="0" borderId="21" xfId="6" applyNumberFormat="1" applyFont="1" applyBorder="1" applyProtection="1">
      <protection hidden="1"/>
    </xf>
    <xf numFmtId="165" fontId="15" fillId="0" borderId="21" xfId="6" applyNumberFormat="1" applyFont="1" applyBorder="1" applyProtection="1">
      <protection hidden="1"/>
    </xf>
    <xf numFmtId="165" fontId="15" fillId="0" borderId="22" xfId="6" applyNumberFormat="1" applyFont="1" applyBorder="1" applyAlignment="1" applyProtection="1">
      <alignment horizontal="right"/>
      <protection hidden="1"/>
    </xf>
    <xf numFmtId="0" fontId="25" fillId="0" borderId="0" xfId="5" applyFont="1" applyBorder="1" applyProtection="1">
      <protection hidden="1"/>
    </xf>
    <xf numFmtId="165" fontId="11" fillId="0" borderId="23" xfId="6" applyNumberFormat="1" applyFont="1" applyBorder="1" applyAlignment="1" applyProtection="1">
      <alignment horizontal="right"/>
      <protection hidden="1"/>
    </xf>
    <xf numFmtId="165" fontId="26" fillId="0" borderId="0" xfId="6" applyNumberFormat="1" applyFont="1" applyBorder="1" applyProtection="1">
      <protection hidden="1"/>
    </xf>
    <xf numFmtId="165" fontId="26" fillId="0" borderId="24" xfId="6" applyNumberFormat="1" applyFont="1" applyBorder="1" applyAlignment="1" applyProtection="1">
      <alignment horizontal="right"/>
      <protection hidden="1"/>
    </xf>
    <xf numFmtId="43" fontId="15" fillId="0" borderId="0" xfId="6" applyFont="1" applyBorder="1" applyAlignment="1" applyProtection="1">
      <alignment horizontal="left"/>
      <protection hidden="1"/>
    </xf>
    <xf numFmtId="43" fontId="26" fillId="0" borderId="0" xfId="6" applyFont="1" applyBorder="1" applyProtection="1">
      <protection hidden="1"/>
    </xf>
    <xf numFmtId="165" fontId="26" fillId="0" borderId="12" xfId="6" applyNumberFormat="1" applyFont="1" applyBorder="1" applyAlignment="1" applyProtection="1">
      <alignment horizontal="right"/>
      <protection hidden="1"/>
    </xf>
    <xf numFmtId="43" fontId="25" fillId="0" borderId="0" xfId="6" applyFont="1" applyBorder="1" applyProtection="1">
      <protection hidden="1"/>
    </xf>
    <xf numFmtId="0" fontId="15" fillId="0" borderId="25" xfId="5" applyFont="1" applyBorder="1" applyProtection="1">
      <protection hidden="1"/>
    </xf>
    <xf numFmtId="0" fontId="26" fillId="0" borderId="26" xfId="5" applyFont="1" applyBorder="1" applyAlignment="1" applyProtection="1">
      <alignment horizontal="right"/>
      <protection hidden="1"/>
    </xf>
    <xf numFmtId="43" fontId="26" fillId="0" borderId="26" xfId="6" applyFont="1" applyBorder="1" applyAlignment="1" applyProtection="1">
      <protection hidden="1"/>
    </xf>
    <xf numFmtId="0" fontId="15" fillId="0" borderId="27" xfId="5" applyFont="1" applyBorder="1" applyProtection="1">
      <protection hidden="1"/>
    </xf>
    <xf numFmtId="0" fontId="13" fillId="0" borderId="0" xfId="5" applyProtection="1">
      <protection hidden="1"/>
    </xf>
    <xf numFmtId="0" fontId="18" fillId="0" borderId="0" xfId="5" applyFont="1" applyAlignment="1" applyProtection="1">
      <alignment horizontal="left"/>
      <protection hidden="1"/>
    </xf>
    <xf numFmtId="169" fontId="18" fillId="0" borderId="0" xfId="5" applyNumberFormat="1" applyFont="1" applyAlignment="1" applyProtection="1">
      <alignment horizontal="left"/>
      <protection hidden="1"/>
    </xf>
    <xf numFmtId="14" fontId="3" fillId="0" borderId="0" xfId="5" applyNumberFormat="1" applyFont="1" applyAlignment="1" applyProtection="1">
      <alignment horizontal="left"/>
      <protection hidden="1"/>
    </xf>
    <xf numFmtId="0" fontId="3" fillId="0" borderId="0" xfId="5" applyFont="1" applyAlignment="1" applyProtection="1">
      <alignment horizontal="left"/>
      <protection hidden="1"/>
    </xf>
    <xf numFmtId="0" fontId="3" fillId="0" borderId="0" xfId="5" applyFont="1" applyAlignment="1" applyProtection="1">
      <alignment horizontal="right"/>
      <protection hidden="1"/>
    </xf>
    <xf numFmtId="0" fontId="18" fillId="0" borderId="0" xfId="5" applyFont="1" applyProtection="1">
      <protection hidden="1"/>
    </xf>
    <xf numFmtId="0" fontId="17" fillId="0" borderId="21" xfId="5" applyFont="1" applyBorder="1" applyProtection="1">
      <protection hidden="1"/>
    </xf>
    <xf numFmtId="0" fontId="18" fillId="0" borderId="21" xfId="5" applyFont="1" applyBorder="1" applyAlignment="1" applyProtection="1">
      <alignment horizontal="right" shrinkToFit="1"/>
      <protection hidden="1"/>
    </xf>
    <xf numFmtId="1" fontId="18" fillId="0" borderId="21" xfId="5" applyNumberFormat="1" applyFont="1" applyBorder="1" applyAlignment="1" applyProtection="1">
      <alignment horizontal="left"/>
      <protection hidden="1"/>
    </xf>
    <xf numFmtId="0" fontId="18" fillId="0" borderId="21" xfId="5" applyFont="1" applyBorder="1" applyProtection="1">
      <protection hidden="1"/>
    </xf>
    <xf numFmtId="165" fontId="18" fillId="0" borderId="21" xfId="6" applyNumberFormat="1" applyFont="1" applyBorder="1" applyProtection="1">
      <protection hidden="1"/>
    </xf>
    <xf numFmtId="0" fontId="7" fillId="0" borderId="0" xfId="5" applyFont="1" applyBorder="1" applyAlignment="1" applyProtection="1">
      <alignment horizontal="left"/>
      <protection hidden="1"/>
    </xf>
    <xf numFmtId="0" fontId="14" fillId="0" borderId="0" xfId="5" applyFont="1" applyBorder="1" applyAlignment="1" applyProtection="1">
      <alignment horizontal="center"/>
      <protection hidden="1"/>
    </xf>
    <xf numFmtId="0" fontId="18" fillId="0" borderId="0" xfId="5" applyFont="1" applyAlignment="1" applyProtection="1">
      <alignment horizontal="right"/>
      <protection hidden="1"/>
    </xf>
    <xf numFmtId="0" fontId="14" fillId="0" borderId="0" xfId="5" applyFont="1" applyBorder="1" applyAlignment="1" applyProtection="1">
      <alignment horizontal="right"/>
      <protection hidden="1"/>
    </xf>
    <xf numFmtId="0" fontId="7" fillId="0" borderId="15" xfId="5" applyFont="1" applyBorder="1" applyAlignment="1" applyProtection="1">
      <alignment horizontal="left"/>
      <protection hidden="1"/>
    </xf>
    <xf numFmtId="43" fontId="27" fillId="0" borderId="26" xfId="6" applyFont="1" applyBorder="1" applyAlignment="1" applyProtection="1">
      <alignment horizontal="right"/>
      <protection hidden="1"/>
    </xf>
    <xf numFmtId="49" fontId="3" fillId="0" borderId="2" xfId="3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/>
    </xf>
    <xf numFmtId="49" fontId="3" fillId="0" borderId="4" xfId="3" applyNumberFormat="1" applyFont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3" fillId="0" borderId="4" xfId="3" applyFont="1" applyFill="1" applyBorder="1" applyAlignment="1">
      <alignment horizontal="center"/>
    </xf>
    <xf numFmtId="0" fontId="2" fillId="2" borderId="9" xfId="3" applyFont="1" applyFill="1" applyBorder="1" applyAlignment="1">
      <alignment horizontal="center"/>
    </xf>
    <xf numFmtId="0" fontId="2" fillId="2" borderId="10" xfId="3" applyFont="1" applyFill="1" applyBorder="1" applyAlignment="1">
      <alignment horizontal="center"/>
    </xf>
    <xf numFmtId="0" fontId="2" fillId="2" borderId="11" xfId="3" applyFont="1" applyFill="1" applyBorder="1" applyAlignment="1">
      <alignment horizontal="center"/>
    </xf>
    <xf numFmtId="0" fontId="3" fillId="2" borderId="7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6" fillId="2" borderId="7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6" fillId="2" borderId="5" xfId="3" applyFont="1" applyFill="1" applyBorder="1" applyAlignment="1">
      <alignment horizontal="center"/>
    </xf>
  </cellXfs>
  <cellStyles count="8">
    <cellStyle name="Comma" xfId="1" builtinId="3"/>
    <cellStyle name="Comma 2" xfId="6"/>
    <cellStyle name="Comma_OCT,SAL" xfId="2"/>
    <cellStyle name="Nor}al" xfId="3"/>
    <cellStyle name="Normal" xfId="0" builtinId="0"/>
    <cellStyle name="Normal_11 Salary Febr10" xfId="7"/>
    <cellStyle name="Normal_SALARY SLIPS" xfId="5"/>
    <cellStyle name="Normal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98"/>
  <sheetViews>
    <sheetView tabSelected="1" workbookViewId="0">
      <selection activeCell="F1" sqref="F1"/>
    </sheetView>
  </sheetViews>
  <sheetFormatPr defaultRowHeight="15"/>
  <cols>
    <col min="1" max="1" width="9" bestFit="1" customWidth="1"/>
    <col min="2" max="2" width="23.5703125" customWidth="1"/>
    <col min="3" max="3" width="14.7109375" bestFit="1" customWidth="1"/>
    <col min="4" max="4" width="9.42578125" customWidth="1"/>
    <col min="5" max="5" width="23.5703125" bestFit="1" customWidth="1"/>
    <col min="6" max="6" width="17.140625" customWidth="1"/>
    <col min="7" max="7" width="8" customWidth="1"/>
  </cols>
  <sheetData>
    <row r="2" spans="1:7">
      <c r="A2" s="92"/>
      <c r="B2" s="93"/>
      <c r="C2" s="93"/>
      <c r="D2" s="93"/>
      <c r="E2" s="93"/>
      <c r="F2" s="93"/>
      <c r="G2" s="94"/>
    </row>
    <row r="3" spans="1:7">
      <c r="A3" s="95"/>
      <c r="B3" s="139" t="s">
        <v>105</v>
      </c>
      <c r="C3" s="139"/>
      <c r="D3" s="139"/>
      <c r="E3" s="139"/>
      <c r="F3" s="139"/>
      <c r="G3" s="96"/>
    </row>
    <row r="4" spans="1:7">
      <c r="A4" s="95"/>
      <c r="B4" s="141" t="s">
        <v>76</v>
      </c>
      <c r="C4" s="141"/>
      <c r="D4" s="141"/>
      <c r="E4" s="97" t="s">
        <v>104</v>
      </c>
      <c r="F4" s="98"/>
      <c r="G4" s="96"/>
    </row>
    <row r="5" spans="1:7">
      <c r="A5" s="95"/>
      <c r="B5" s="99" t="s">
        <v>72</v>
      </c>
      <c r="C5" s="138" t="str">
        <f>VLOOKUP(F5,'Pay Roll'!$A$7:$AI$28,2,0)</f>
        <v>CCCC</v>
      </c>
      <c r="D5" s="138"/>
      <c r="E5" s="99" t="s">
        <v>77</v>
      </c>
      <c r="F5" s="100" t="s">
        <v>51</v>
      </c>
      <c r="G5" s="96"/>
    </row>
    <row r="6" spans="1:7">
      <c r="A6" s="95"/>
      <c r="B6" s="99" t="s">
        <v>73</v>
      </c>
      <c r="C6" s="101">
        <f>VLOOKUP($F$5,'Pay Roll'!$A$7:$AI$28,4,0)</f>
        <v>39484</v>
      </c>
      <c r="D6" s="102"/>
      <c r="E6" s="99" t="s">
        <v>78</v>
      </c>
      <c r="F6" s="138" t="str">
        <f>VLOOKUP($F$5,'Pay Roll'!$A$7:$AI$28,3,0)</f>
        <v xml:space="preserve">SR. MANAGER </v>
      </c>
      <c r="G6" s="142"/>
    </row>
    <row r="7" spans="1:7">
      <c r="A7" s="95"/>
      <c r="B7" s="103" t="s">
        <v>79</v>
      </c>
      <c r="C7" s="101" t="str">
        <f>VLOOKUP($F$5,'Pay Roll'!$A$7:$AI$28,5,0)</f>
        <v>30</v>
      </c>
      <c r="D7" s="91"/>
      <c r="E7" s="90"/>
      <c r="F7" s="90"/>
      <c r="G7" s="96"/>
    </row>
    <row r="8" spans="1:7">
      <c r="A8" s="95"/>
      <c r="B8" s="104" t="s">
        <v>4</v>
      </c>
      <c r="C8" s="105" t="s">
        <v>1</v>
      </c>
      <c r="D8" s="106"/>
      <c r="E8" s="104" t="s">
        <v>6</v>
      </c>
      <c r="F8" s="105" t="s">
        <v>1</v>
      </c>
      <c r="G8" s="96"/>
    </row>
    <row r="9" spans="1:7">
      <c r="A9" s="95"/>
      <c r="B9" s="107" t="s">
        <v>17</v>
      </c>
      <c r="C9" s="108">
        <f>VLOOKUP($F$5,'Pay Roll'!$A$7:$AI$28,6,0)</f>
        <v>7000</v>
      </c>
      <c r="D9" s="106"/>
      <c r="E9" s="109" t="s">
        <v>80</v>
      </c>
      <c r="F9" s="108">
        <f>VLOOKUP($F$5,'Pay Roll'!$A$7:$AI$28,13,0)</f>
        <v>0</v>
      </c>
      <c r="G9" s="96"/>
    </row>
    <row r="10" spans="1:7">
      <c r="A10" s="95"/>
      <c r="B10" s="107" t="s">
        <v>81</v>
      </c>
      <c r="C10" s="108">
        <f>VLOOKUP($F$5,'Pay Roll'!$A$7:$AI$28,7,0)</f>
        <v>4000.0000000000005</v>
      </c>
      <c r="D10" s="106"/>
      <c r="E10" s="109" t="s">
        <v>82</v>
      </c>
      <c r="F10" s="108">
        <f>VLOOKUP($F$5,'Pay Roll'!$A$7:$AI$28,14,0)</f>
        <v>0</v>
      </c>
      <c r="G10" s="96"/>
    </row>
    <row r="11" spans="1:7">
      <c r="A11" s="95"/>
      <c r="B11" s="110" t="s">
        <v>83</v>
      </c>
      <c r="C11" s="108">
        <f>VLOOKUP($F$5,'Pay Roll'!$A$7:$AI$28,8,0)</f>
        <v>800</v>
      </c>
      <c r="D11" s="106"/>
      <c r="E11" s="111" t="s">
        <v>84</v>
      </c>
      <c r="F11" s="108">
        <f>VLOOKUP($F$5,'Pay Roll'!$A$7:$AI$28,15,0)</f>
        <v>0</v>
      </c>
      <c r="G11" s="96"/>
    </row>
    <row r="12" spans="1:7">
      <c r="A12" s="95"/>
      <c r="B12" s="107" t="s">
        <v>19</v>
      </c>
      <c r="C12" s="108">
        <f>VLOOKUP($F$5,'Pay Roll'!$A$7:$AI$28,9,0)</f>
        <v>1250</v>
      </c>
      <c r="D12" s="106"/>
      <c r="E12" s="109" t="s">
        <v>85</v>
      </c>
      <c r="F12" s="108">
        <f>VLOOKUP($F$5,'Pay Roll'!$A$7:$AI$28,16,0)</f>
        <v>200</v>
      </c>
      <c r="G12" s="96"/>
    </row>
    <row r="13" spans="1:7">
      <c r="A13" s="95"/>
      <c r="B13" s="107" t="s">
        <v>86</v>
      </c>
      <c r="C13" s="108">
        <f>VLOOKUP($F$5,'Pay Roll'!$A$7:$AI$28,10,0)</f>
        <v>0</v>
      </c>
      <c r="D13" s="106"/>
      <c r="E13" s="109" t="s">
        <v>87</v>
      </c>
      <c r="F13" s="108">
        <f>VLOOKUP($F$5,'Pay Roll'!$A$7:$AI$28,17,0)</f>
        <v>0</v>
      </c>
      <c r="G13" s="96"/>
    </row>
    <row r="14" spans="1:7">
      <c r="A14" s="95"/>
      <c r="B14" s="107" t="s">
        <v>88</v>
      </c>
      <c r="C14" s="108">
        <f>VLOOKUP($F$5,'Pay Roll'!$A$7:$AI$28,11,0)</f>
        <v>3465</v>
      </c>
      <c r="D14" s="106"/>
      <c r="E14" s="112"/>
      <c r="F14" s="113"/>
      <c r="G14" s="96"/>
    </row>
    <row r="15" spans="1:7" ht="15.75" thickBot="1">
      <c r="A15" s="95"/>
      <c r="B15" s="114" t="s">
        <v>89</v>
      </c>
      <c r="C15" s="115">
        <f>+SUM(C9:C14)</f>
        <v>16515</v>
      </c>
      <c r="D15" s="106"/>
      <c r="E15" s="116" t="s">
        <v>90</v>
      </c>
      <c r="F15" s="117">
        <f>+SUM(F9:F14)</f>
        <v>200</v>
      </c>
      <c r="G15" s="96"/>
    </row>
    <row r="16" spans="1:7" ht="15.75" thickBot="1">
      <c r="A16" s="95"/>
      <c r="B16" s="90"/>
      <c r="C16" s="90"/>
      <c r="D16" s="118"/>
      <c r="E16" s="119" t="s">
        <v>91</v>
      </c>
      <c r="F16" s="120">
        <f>+C15-F15</f>
        <v>16315</v>
      </c>
      <c r="G16" s="96"/>
    </row>
    <row r="17" spans="1:7">
      <c r="A17" s="95"/>
      <c r="B17" s="90"/>
      <c r="C17" s="90"/>
      <c r="D17" s="118"/>
      <c r="E17" s="121"/>
      <c r="F17" s="121"/>
      <c r="G17" s="96"/>
    </row>
    <row r="18" spans="1:7">
      <c r="A18" s="122"/>
      <c r="B18" s="123" t="s">
        <v>92</v>
      </c>
      <c r="C18" s="124">
        <f>+F16</f>
        <v>16315</v>
      </c>
      <c r="D18" s="143" t="s">
        <v>93</v>
      </c>
      <c r="E18" s="143"/>
      <c r="F18" s="123" t="str">
        <f>VLOOKUP($F$5,'Pay Roll'!$A$7:$AI$28,21,0)</f>
        <v>0</v>
      </c>
      <c r="G18" s="125"/>
    </row>
    <row r="19" spans="1:7">
      <c r="A19" s="126"/>
      <c r="B19" s="126"/>
      <c r="C19" s="126"/>
      <c r="D19" s="126"/>
      <c r="E19" s="126"/>
      <c r="F19" s="126"/>
      <c r="G19" s="126"/>
    </row>
    <row r="20" spans="1:7">
      <c r="A20" s="126"/>
      <c r="B20" s="126"/>
      <c r="C20" s="126"/>
      <c r="D20" s="126"/>
      <c r="E20" s="126"/>
      <c r="F20" s="126"/>
      <c r="G20" s="126"/>
    </row>
    <row r="21" spans="1:7">
      <c r="A21" s="127" t="s">
        <v>74</v>
      </c>
      <c r="B21" s="128">
        <f ca="1">TODAY()</f>
        <v>40456</v>
      </c>
      <c r="C21" s="129"/>
      <c r="D21" s="126"/>
      <c r="E21" s="140" t="s">
        <v>75</v>
      </c>
      <c r="F21" s="140"/>
      <c r="G21" s="126"/>
    </row>
    <row r="22" spans="1:7">
      <c r="A22" s="126"/>
      <c r="B22" s="126"/>
      <c r="C22" s="126"/>
      <c r="D22" s="126"/>
      <c r="E22" s="126"/>
      <c r="F22" s="126"/>
      <c r="G22" s="126"/>
    </row>
    <row r="23" spans="1:7">
      <c r="A23" s="126"/>
      <c r="B23" s="126"/>
      <c r="C23" s="126"/>
      <c r="D23" s="126"/>
      <c r="E23" s="126"/>
      <c r="F23" s="126"/>
      <c r="G23" s="126"/>
    </row>
    <row r="24" spans="1:7">
      <c r="A24" s="92"/>
      <c r="B24" s="93"/>
      <c r="C24" s="93"/>
      <c r="D24" s="93"/>
      <c r="E24" s="93"/>
      <c r="F24" s="93"/>
      <c r="G24" s="94"/>
    </row>
    <row r="25" spans="1:7">
      <c r="A25" s="95"/>
      <c r="B25" s="139" t="s">
        <v>105</v>
      </c>
      <c r="C25" s="139"/>
      <c r="D25" s="139"/>
      <c r="E25" s="139"/>
      <c r="F25" s="139"/>
      <c r="G25" s="96"/>
    </row>
    <row r="26" spans="1:7">
      <c r="A26" s="95"/>
      <c r="B26" s="141" t="s">
        <v>76</v>
      </c>
      <c r="C26" s="141"/>
      <c r="D26" s="141"/>
      <c r="E26" s="97" t="s">
        <v>104</v>
      </c>
      <c r="F26" s="98"/>
      <c r="G26" s="96"/>
    </row>
    <row r="27" spans="1:7">
      <c r="A27" s="95"/>
      <c r="B27" s="99" t="s">
        <v>72</v>
      </c>
      <c r="C27" s="138" t="str">
        <f>VLOOKUP($F$27,'Pay Roll'!$A$7:$AI$28,2,0)</f>
        <v>CCCC</v>
      </c>
      <c r="D27" s="138"/>
      <c r="E27" s="99" t="s">
        <v>77</v>
      </c>
      <c r="F27" s="100" t="s">
        <v>51</v>
      </c>
      <c r="G27" s="96"/>
    </row>
    <row r="28" spans="1:7">
      <c r="A28" s="95"/>
      <c r="B28" s="99" t="s">
        <v>73</v>
      </c>
      <c r="C28" s="101">
        <f>VLOOKUP($F$27,'Pay Roll'!$A$7:$AI$28,4,0)</f>
        <v>39484</v>
      </c>
      <c r="D28" s="102"/>
      <c r="E28" s="99" t="s">
        <v>78</v>
      </c>
      <c r="F28" s="138" t="str">
        <f>VLOOKUP($F$27,'Pay Roll'!$A$7:$AI$28,3,0)</f>
        <v xml:space="preserve">SR. MANAGER </v>
      </c>
      <c r="G28" s="142"/>
    </row>
    <row r="29" spans="1:7">
      <c r="A29" s="95"/>
      <c r="B29" s="103" t="s">
        <v>79</v>
      </c>
      <c r="C29" s="91" t="str">
        <f>VLOOKUP($F$27,'Pay Roll'!$A$7:$AI$28,5,0)</f>
        <v>30</v>
      </c>
      <c r="D29" s="91"/>
      <c r="E29" s="90"/>
      <c r="F29" s="90"/>
      <c r="G29" s="96"/>
    </row>
    <row r="30" spans="1:7">
      <c r="A30" s="95"/>
      <c r="B30" s="104" t="s">
        <v>4</v>
      </c>
      <c r="C30" s="105" t="s">
        <v>1</v>
      </c>
      <c r="D30" s="106"/>
      <c r="E30" s="104" t="s">
        <v>6</v>
      </c>
      <c r="F30" s="105" t="s">
        <v>1</v>
      </c>
      <c r="G30" s="96"/>
    </row>
    <row r="31" spans="1:7">
      <c r="A31" s="95"/>
      <c r="B31" s="107" t="s">
        <v>17</v>
      </c>
      <c r="C31" s="108">
        <f>VLOOKUP($F$27,'Pay Roll'!$A$7:$AI$28,6,0)</f>
        <v>7000</v>
      </c>
      <c r="D31" s="106"/>
      <c r="E31" s="109" t="s">
        <v>80</v>
      </c>
      <c r="F31" s="108">
        <f>VLOOKUP($F$27,'Pay Roll'!$A$7:$AI$28,13,0)</f>
        <v>0</v>
      </c>
      <c r="G31" s="96"/>
    </row>
    <row r="32" spans="1:7">
      <c r="A32" s="95"/>
      <c r="B32" s="107" t="s">
        <v>81</v>
      </c>
      <c r="C32" s="108">
        <f>VLOOKUP($F$27,'Pay Roll'!$A$7:$AI$28,7,0)</f>
        <v>4000.0000000000005</v>
      </c>
      <c r="D32" s="106"/>
      <c r="E32" s="109" t="s">
        <v>82</v>
      </c>
      <c r="F32" s="108">
        <f>VLOOKUP($F$27,'Pay Roll'!$A$7:$AI$28,14,0)</f>
        <v>0</v>
      </c>
      <c r="G32" s="96"/>
    </row>
    <row r="33" spans="1:7">
      <c r="A33" s="95"/>
      <c r="B33" s="110" t="s">
        <v>83</v>
      </c>
      <c r="C33" s="108">
        <f>VLOOKUP($F$27,'Pay Roll'!$A$7:$AI$28,8,0)</f>
        <v>800</v>
      </c>
      <c r="D33" s="106"/>
      <c r="E33" s="111" t="s">
        <v>84</v>
      </c>
      <c r="F33" s="108">
        <f>VLOOKUP($F$27,'Pay Roll'!$A$7:$AI$28,15,0)</f>
        <v>0</v>
      </c>
      <c r="G33" s="96"/>
    </row>
    <row r="34" spans="1:7">
      <c r="A34" s="95"/>
      <c r="B34" s="107" t="s">
        <v>19</v>
      </c>
      <c r="C34" s="108">
        <f>VLOOKUP($F$27,'Pay Roll'!$A$7:$AI$28,9,0)</f>
        <v>1250</v>
      </c>
      <c r="D34" s="106"/>
      <c r="E34" s="109" t="s">
        <v>85</v>
      </c>
      <c r="F34" s="108">
        <f>VLOOKUP($F$27,'Pay Roll'!$A$7:$AI$28,16,0)</f>
        <v>200</v>
      </c>
      <c r="G34" s="96"/>
    </row>
    <row r="35" spans="1:7">
      <c r="A35" s="95"/>
      <c r="B35" s="107" t="s">
        <v>86</v>
      </c>
      <c r="C35" s="108">
        <f>VLOOKUP($F$27,'Pay Roll'!$A$7:$AI$28,10,0)</f>
        <v>0</v>
      </c>
      <c r="D35" s="106"/>
      <c r="E35" s="109" t="s">
        <v>87</v>
      </c>
      <c r="F35" s="108">
        <f>VLOOKUP($F$27,'Pay Roll'!$A$7:$AI$28,17,0)</f>
        <v>0</v>
      </c>
      <c r="G35" s="96"/>
    </row>
    <row r="36" spans="1:7">
      <c r="A36" s="95"/>
      <c r="B36" s="107" t="s">
        <v>88</v>
      </c>
      <c r="C36" s="108">
        <f>VLOOKUP($F$27,'Pay Roll'!$A$7:$AI$28,11,0)</f>
        <v>3465</v>
      </c>
      <c r="D36" s="106"/>
      <c r="E36" s="112"/>
      <c r="F36" s="113"/>
      <c r="G36" s="96"/>
    </row>
    <row r="37" spans="1:7" ht="15.75" thickBot="1">
      <c r="A37" s="95"/>
      <c r="B37" s="114" t="s">
        <v>89</v>
      </c>
      <c r="C37" s="115">
        <f>+SUM(C31:C36)</f>
        <v>16515</v>
      </c>
      <c r="D37" s="106"/>
      <c r="E37" s="116" t="s">
        <v>90</v>
      </c>
      <c r="F37" s="117">
        <f>+SUM(F31:F36)</f>
        <v>200</v>
      </c>
      <c r="G37" s="96"/>
    </row>
    <row r="38" spans="1:7" ht="15.75" thickBot="1">
      <c r="A38" s="95"/>
      <c r="B38" s="90"/>
      <c r="C38" s="90"/>
      <c r="D38" s="118"/>
      <c r="E38" s="119" t="s">
        <v>91</v>
      </c>
      <c r="F38" s="120">
        <f>+C37-F37</f>
        <v>16315</v>
      </c>
      <c r="G38" s="96"/>
    </row>
    <row r="39" spans="1:7">
      <c r="A39" s="95"/>
      <c r="B39" s="90"/>
      <c r="C39" s="90"/>
      <c r="D39" s="118"/>
      <c r="E39" s="121"/>
      <c r="F39" s="121"/>
      <c r="G39" s="96"/>
    </row>
    <row r="40" spans="1:7">
      <c r="A40" s="122"/>
      <c r="B40" s="123" t="s">
        <v>92</v>
      </c>
      <c r="C40" s="124">
        <f>+F38</f>
        <v>16315</v>
      </c>
      <c r="D40" s="143" t="s">
        <v>93</v>
      </c>
      <c r="E40" s="143"/>
      <c r="F40" s="123" t="str">
        <f>VLOOKUP($F$27,'Pay Roll'!$A$7:$AI$28,21,0)</f>
        <v>0</v>
      </c>
      <c r="G40" s="125"/>
    </row>
    <row r="41" spans="1:7">
      <c r="A41" s="126"/>
      <c r="B41" s="126"/>
      <c r="C41" s="126"/>
      <c r="D41" s="126"/>
      <c r="E41" s="126"/>
      <c r="F41" s="126"/>
      <c r="G41" s="126"/>
    </row>
    <row r="42" spans="1:7">
      <c r="A42" s="126"/>
      <c r="B42" s="126"/>
      <c r="C42" s="126"/>
      <c r="D42" s="126"/>
      <c r="E42" s="126"/>
      <c r="F42" s="126"/>
      <c r="G42" s="126"/>
    </row>
    <row r="43" spans="1:7">
      <c r="A43" s="127" t="s">
        <v>74</v>
      </c>
      <c r="B43" s="128">
        <f ca="1">TODAY()</f>
        <v>40456</v>
      </c>
      <c r="C43" s="129"/>
      <c r="D43" s="126"/>
      <c r="E43" s="140" t="s">
        <v>75</v>
      </c>
      <c r="F43" s="140"/>
      <c r="G43" s="126"/>
    </row>
    <row r="44" spans="1:7">
      <c r="A44" s="126"/>
      <c r="B44" s="126"/>
      <c r="C44" s="126"/>
      <c r="D44" s="126"/>
      <c r="E44" s="126"/>
      <c r="F44" s="126"/>
      <c r="G44" s="126"/>
    </row>
    <row r="45" spans="1:7">
      <c r="A45" s="92"/>
      <c r="B45" s="93"/>
      <c r="C45" s="93"/>
      <c r="D45" s="93"/>
      <c r="E45" s="93"/>
      <c r="F45" s="93"/>
      <c r="G45" s="94"/>
    </row>
    <row r="46" spans="1:7">
      <c r="A46" s="95"/>
      <c r="B46" s="139" t="s">
        <v>105</v>
      </c>
      <c r="C46" s="139"/>
      <c r="D46" s="139"/>
      <c r="E46" s="139"/>
      <c r="F46" s="139"/>
      <c r="G46" s="96"/>
    </row>
    <row r="47" spans="1:7">
      <c r="A47" s="95"/>
      <c r="B47" s="141" t="s">
        <v>76</v>
      </c>
      <c r="C47" s="141"/>
      <c r="D47" s="141"/>
      <c r="E47" s="97" t="s">
        <v>104</v>
      </c>
      <c r="F47" s="98"/>
      <c r="G47" s="96"/>
    </row>
    <row r="48" spans="1:7">
      <c r="A48" s="95"/>
      <c r="B48" s="99" t="s">
        <v>72</v>
      </c>
      <c r="C48" s="138" t="str">
        <f>VLOOKUP(F48,'Pay Roll'!$A$7:$AI$28,2,0)</f>
        <v>CCCC</v>
      </c>
      <c r="D48" s="138"/>
      <c r="E48" s="99" t="s">
        <v>77</v>
      </c>
      <c r="F48" s="100" t="s">
        <v>51</v>
      </c>
      <c r="G48" s="96"/>
    </row>
    <row r="49" spans="1:7">
      <c r="A49" s="95"/>
      <c r="B49" s="99" t="s">
        <v>73</v>
      </c>
      <c r="C49" s="101">
        <f>VLOOKUP($F$48,'Pay Roll'!$A$7:$AI$28,4,0)</f>
        <v>39484</v>
      </c>
      <c r="D49" s="102"/>
      <c r="E49" s="99" t="s">
        <v>78</v>
      </c>
      <c r="F49" s="138" t="str">
        <f>VLOOKUP($F$48,'Pay Roll'!$A$7:$AI$28,3,0)</f>
        <v xml:space="preserve">SR. MANAGER </v>
      </c>
      <c r="G49" s="142"/>
    </row>
    <row r="50" spans="1:7">
      <c r="A50" s="95"/>
      <c r="B50" s="103" t="s">
        <v>79</v>
      </c>
      <c r="C50" s="91" t="str">
        <f>VLOOKUP($F$48,'Pay Roll'!$A$7:$AI$28,5,0)</f>
        <v>30</v>
      </c>
      <c r="D50" s="91"/>
      <c r="E50" s="90"/>
      <c r="F50" s="90"/>
      <c r="G50" s="96"/>
    </row>
    <row r="51" spans="1:7">
      <c r="A51" s="95"/>
      <c r="B51" s="104" t="s">
        <v>4</v>
      </c>
      <c r="C51" s="105" t="s">
        <v>1</v>
      </c>
      <c r="D51" s="106"/>
      <c r="E51" s="104" t="s">
        <v>6</v>
      </c>
      <c r="F51" s="105" t="s">
        <v>1</v>
      </c>
      <c r="G51" s="96"/>
    </row>
    <row r="52" spans="1:7">
      <c r="A52" s="95"/>
      <c r="B52" s="107" t="s">
        <v>17</v>
      </c>
      <c r="C52" s="108">
        <f>VLOOKUP($F$48,'Pay Roll'!$A$7:$AI$28,6,0)</f>
        <v>7000</v>
      </c>
      <c r="D52" s="106"/>
      <c r="E52" s="109" t="s">
        <v>80</v>
      </c>
      <c r="F52" s="108">
        <f>VLOOKUP($F$48,'Pay Roll'!$A$7:$AI$28,13,0)</f>
        <v>0</v>
      </c>
      <c r="G52" s="96"/>
    </row>
    <row r="53" spans="1:7">
      <c r="A53" s="95"/>
      <c r="B53" s="107" t="s">
        <v>81</v>
      </c>
      <c r="C53" s="108">
        <f>VLOOKUP($F$48,'Pay Roll'!$A$7:$AI$28,7,0)</f>
        <v>4000.0000000000005</v>
      </c>
      <c r="D53" s="106"/>
      <c r="E53" s="109" t="s">
        <v>82</v>
      </c>
      <c r="F53" s="108">
        <f>VLOOKUP($F$48,'Pay Roll'!$A$7:$AI$28,14,0)</f>
        <v>0</v>
      </c>
      <c r="G53" s="96"/>
    </row>
    <row r="54" spans="1:7">
      <c r="A54" s="95"/>
      <c r="B54" s="110" t="s">
        <v>83</v>
      </c>
      <c r="C54" s="108">
        <f>VLOOKUP($F$48,'Pay Roll'!$A$7:$AI$28,8,0)</f>
        <v>800</v>
      </c>
      <c r="D54" s="106"/>
      <c r="E54" s="111" t="s">
        <v>84</v>
      </c>
      <c r="F54" s="108">
        <f>VLOOKUP($F$48,'Pay Roll'!$A$7:$AI$28,15,0)</f>
        <v>0</v>
      </c>
      <c r="G54" s="96"/>
    </row>
    <row r="55" spans="1:7">
      <c r="A55" s="95"/>
      <c r="B55" s="107" t="s">
        <v>19</v>
      </c>
      <c r="C55" s="108">
        <f>VLOOKUP($F$48,'Pay Roll'!$A$7:$AI$28,9,0)</f>
        <v>1250</v>
      </c>
      <c r="D55" s="106"/>
      <c r="E55" s="109" t="s">
        <v>85</v>
      </c>
      <c r="F55" s="108">
        <f>VLOOKUP($F$48,'Pay Roll'!$A$7:$AI$28,16,0)</f>
        <v>200</v>
      </c>
      <c r="G55" s="96"/>
    </row>
    <row r="56" spans="1:7">
      <c r="A56" s="95"/>
      <c r="B56" s="107" t="s">
        <v>86</v>
      </c>
      <c r="C56" s="108">
        <f>VLOOKUP($F$48,'Pay Roll'!$A$7:$AI$28,10,0)</f>
        <v>0</v>
      </c>
      <c r="D56" s="106"/>
      <c r="E56" s="109" t="s">
        <v>87</v>
      </c>
      <c r="F56" s="108">
        <f>VLOOKUP($F$48,'Pay Roll'!$A$7:$AI$28,17,0)</f>
        <v>0</v>
      </c>
      <c r="G56" s="96"/>
    </row>
    <row r="57" spans="1:7">
      <c r="A57" s="95"/>
      <c r="B57" s="107" t="s">
        <v>88</v>
      </c>
      <c r="C57" s="108">
        <f>VLOOKUP($F$48,'Pay Roll'!$A$7:$AI$28,11,0)</f>
        <v>3465</v>
      </c>
      <c r="D57" s="106"/>
      <c r="E57" s="112"/>
      <c r="F57" s="113"/>
      <c r="G57" s="96"/>
    </row>
    <row r="58" spans="1:7" ht="15.75" thickBot="1">
      <c r="A58" s="95"/>
      <c r="B58" s="114" t="s">
        <v>89</v>
      </c>
      <c r="C58" s="115">
        <f>+SUM(C52:C57)</f>
        <v>16515</v>
      </c>
      <c r="D58" s="106"/>
      <c r="E58" s="116" t="s">
        <v>90</v>
      </c>
      <c r="F58" s="117">
        <f>+SUM(F52:F57)</f>
        <v>200</v>
      </c>
      <c r="G58" s="96"/>
    </row>
    <row r="59" spans="1:7" ht="15.75" thickBot="1">
      <c r="A59" s="95"/>
      <c r="B59" s="90"/>
      <c r="C59" s="90"/>
      <c r="D59" s="118"/>
      <c r="E59" s="119" t="s">
        <v>91</v>
      </c>
      <c r="F59" s="120">
        <f>+C58-F58</f>
        <v>16315</v>
      </c>
      <c r="G59" s="96"/>
    </row>
    <row r="60" spans="1:7">
      <c r="A60" s="95"/>
      <c r="B60" s="90"/>
      <c r="C60" s="90"/>
      <c r="D60" s="118"/>
      <c r="E60" s="121"/>
      <c r="F60" s="121"/>
      <c r="G60" s="96"/>
    </row>
    <row r="61" spans="1:7">
      <c r="A61" s="122"/>
      <c r="B61" s="123" t="s">
        <v>92</v>
      </c>
      <c r="C61" s="124">
        <f>+F59</f>
        <v>16315</v>
      </c>
      <c r="D61" s="143" t="s">
        <v>93</v>
      </c>
      <c r="E61" s="143"/>
      <c r="F61" s="123" t="str">
        <f>VLOOKUP($F$48,'Pay Roll'!$A$7:$AI$28,21,0)</f>
        <v>0</v>
      </c>
      <c r="G61" s="125"/>
    </row>
    <row r="62" spans="1:7">
      <c r="A62" s="126"/>
      <c r="B62" s="126"/>
      <c r="C62" s="126"/>
      <c r="D62" s="126"/>
      <c r="E62" s="126"/>
      <c r="F62" s="126"/>
      <c r="G62" s="126"/>
    </row>
    <row r="63" spans="1:7">
      <c r="A63" s="126"/>
      <c r="B63" s="126"/>
      <c r="C63" s="126"/>
      <c r="D63" s="126"/>
      <c r="E63" s="126"/>
      <c r="F63" s="126"/>
      <c r="G63" s="126"/>
    </row>
    <row r="64" spans="1:7">
      <c r="A64" s="126"/>
      <c r="B64" s="126"/>
      <c r="C64" s="126"/>
      <c r="D64" s="126"/>
      <c r="E64" s="126"/>
      <c r="F64" s="126"/>
      <c r="G64" s="126"/>
    </row>
    <row r="65" spans="1:7">
      <c r="A65" s="127" t="s">
        <v>74</v>
      </c>
      <c r="B65" s="128">
        <f ca="1">TODAY()</f>
        <v>40456</v>
      </c>
      <c r="C65" s="129"/>
      <c r="D65" s="126"/>
      <c r="E65" s="140" t="s">
        <v>75</v>
      </c>
      <c r="F65" s="140"/>
      <c r="G65" s="126"/>
    </row>
    <row r="66" spans="1:7">
      <c r="A66" s="130"/>
      <c r="B66" s="129"/>
      <c r="C66" s="129"/>
      <c r="D66" s="126"/>
      <c r="E66" s="131"/>
      <c r="F66" s="131"/>
      <c r="G66" s="126"/>
    </row>
    <row r="67" spans="1:7">
      <c r="A67" s="126"/>
      <c r="B67" s="126"/>
      <c r="C67" s="126"/>
      <c r="D67" s="126"/>
      <c r="E67" s="126"/>
      <c r="F67" s="126"/>
      <c r="G67" s="126"/>
    </row>
    <row r="68" spans="1:7">
      <c r="A68" s="92"/>
      <c r="B68" s="93"/>
      <c r="C68" s="93"/>
      <c r="D68" s="93"/>
      <c r="E68" s="93"/>
      <c r="F68" s="93"/>
      <c r="G68" s="94"/>
    </row>
    <row r="69" spans="1:7">
      <c r="A69" s="95"/>
      <c r="B69" s="139" t="s">
        <v>105</v>
      </c>
      <c r="C69" s="139"/>
      <c r="D69" s="139"/>
      <c r="E69" s="139"/>
      <c r="F69" s="139"/>
      <c r="G69" s="96"/>
    </row>
    <row r="70" spans="1:7">
      <c r="A70" s="95"/>
      <c r="B70" s="141" t="s">
        <v>76</v>
      </c>
      <c r="C70" s="141"/>
      <c r="D70" s="141"/>
      <c r="E70" s="97" t="s">
        <v>104</v>
      </c>
      <c r="F70" s="98"/>
      <c r="G70" s="96"/>
    </row>
    <row r="71" spans="1:7">
      <c r="A71" s="95"/>
      <c r="B71" s="99" t="s">
        <v>72</v>
      </c>
      <c r="C71" s="138" t="str">
        <f>VLOOKUP($F$71,'Pay Roll'!$A$7:$AI$28,2,0)</f>
        <v>CCCC</v>
      </c>
      <c r="D71" s="138"/>
      <c r="E71" s="99" t="s">
        <v>77</v>
      </c>
      <c r="F71" s="100" t="s">
        <v>51</v>
      </c>
      <c r="G71" s="96"/>
    </row>
    <row r="72" spans="1:7">
      <c r="A72" s="95"/>
      <c r="B72" s="99" t="s">
        <v>73</v>
      </c>
      <c r="C72" s="101">
        <f>VLOOKUP($F$71,'Pay Roll'!$A$7:$AI$28,4,0)</f>
        <v>39484</v>
      </c>
      <c r="D72" s="102"/>
      <c r="E72" s="99" t="s">
        <v>78</v>
      </c>
      <c r="F72" s="138" t="str">
        <f>VLOOKUP($F$71,'Pay Roll'!$A$7:$AI$28,3,0)</f>
        <v xml:space="preserve">SR. MANAGER </v>
      </c>
      <c r="G72" s="142"/>
    </row>
    <row r="73" spans="1:7">
      <c r="A73" s="95"/>
      <c r="B73" s="103" t="s">
        <v>79</v>
      </c>
      <c r="C73" s="91" t="str">
        <f>VLOOKUP($F$71,'Pay Roll'!$A$7:$AI$28,5,0)</f>
        <v>30</v>
      </c>
      <c r="D73" s="91"/>
      <c r="E73" s="90"/>
      <c r="F73" s="90"/>
      <c r="G73" s="96"/>
    </row>
    <row r="74" spans="1:7">
      <c r="A74" s="95"/>
      <c r="B74" s="104" t="s">
        <v>4</v>
      </c>
      <c r="C74" s="105" t="s">
        <v>1</v>
      </c>
      <c r="D74" s="106"/>
      <c r="E74" s="104" t="s">
        <v>6</v>
      </c>
      <c r="F74" s="105" t="s">
        <v>1</v>
      </c>
      <c r="G74" s="96"/>
    </row>
    <row r="75" spans="1:7">
      <c r="A75" s="95"/>
      <c r="B75" s="107" t="s">
        <v>17</v>
      </c>
      <c r="C75" s="108">
        <f>VLOOKUP($F$71,'Pay Roll'!$A$7:$AI$28,6,0)</f>
        <v>7000</v>
      </c>
      <c r="D75" s="106"/>
      <c r="E75" s="109" t="s">
        <v>80</v>
      </c>
      <c r="F75" s="108">
        <f>VLOOKUP($F$71,'Pay Roll'!$A$7:$AI$28,13,0)</f>
        <v>0</v>
      </c>
      <c r="G75" s="96"/>
    </row>
    <row r="76" spans="1:7">
      <c r="A76" s="95"/>
      <c r="B76" s="107" t="s">
        <v>81</v>
      </c>
      <c r="C76" s="108">
        <f>VLOOKUP($F$71,'Pay Roll'!$A$7:$AI$28,7,0)</f>
        <v>4000.0000000000005</v>
      </c>
      <c r="D76" s="106"/>
      <c r="E76" s="109" t="s">
        <v>82</v>
      </c>
      <c r="F76" s="108">
        <f>VLOOKUP($F$71,'Pay Roll'!$A$7:$AI$28,14,0)</f>
        <v>0</v>
      </c>
      <c r="G76" s="96"/>
    </row>
    <row r="77" spans="1:7">
      <c r="A77" s="95"/>
      <c r="B77" s="110" t="s">
        <v>83</v>
      </c>
      <c r="C77" s="108">
        <f>VLOOKUP($F$71,'Pay Roll'!$A$7:$AI$28,8,0)</f>
        <v>800</v>
      </c>
      <c r="D77" s="106"/>
      <c r="E77" s="111" t="s">
        <v>84</v>
      </c>
      <c r="F77" s="108">
        <f>VLOOKUP($F$71,'Pay Roll'!$A$7:$AI$28,15,0)</f>
        <v>0</v>
      </c>
      <c r="G77" s="96"/>
    </row>
    <row r="78" spans="1:7">
      <c r="A78" s="95"/>
      <c r="B78" s="107" t="s">
        <v>19</v>
      </c>
      <c r="C78" s="108">
        <f>VLOOKUP($F$71,'Pay Roll'!$A$7:$AI$28,9,0)</f>
        <v>1250</v>
      </c>
      <c r="D78" s="106"/>
      <c r="E78" s="109" t="s">
        <v>85</v>
      </c>
      <c r="F78" s="108">
        <f>VLOOKUP($F$71,'Pay Roll'!$A$7:$AI$28,16,0)</f>
        <v>200</v>
      </c>
      <c r="G78" s="96"/>
    </row>
    <row r="79" spans="1:7">
      <c r="A79" s="95"/>
      <c r="B79" s="107" t="s">
        <v>86</v>
      </c>
      <c r="C79" s="108">
        <f>VLOOKUP($F$71,'Pay Roll'!$A$7:$AI$28,10,0)</f>
        <v>0</v>
      </c>
      <c r="D79" s="106"/>
      <c r="E79" s="109" t="s">
        <v>87</v>
      </c>
      <c r="F79" s="108">
        <f>VLOOKUP($F$71,'Pay Roll'!$A$7:$AI$28,17,0)</f>
        <v>0</v>
      </c>
      <c r="G79" s="96"/>
    </row>
    <row r="80" spans="1:7">
      <c r="A80" s="95"/>
      <c r="B80" s="107" t="s">
        <v>88</v>
      </c>
      <c r="C80" s="108">
        <f>VLOOKUP($F$71,'Pay Roll'!$A$7:$AI$28,11,0)</f>
        <v>3465</v>
      </c>
      <c r="D80" s="106"/>
      <c r="E80" s="112"/>
      <c r="F80" s="113"/>
      <c r="G80" s="96"/>
    </row>
    <row r="81" spans="1:7" ht="15.75" thickBot="1">
      <c r="A81" s="95"/>
      <c r="B81" s="114" t="s">
        <v>89</v>
      </c>
      <c r="C81" s="115">
        <f>+SUM(C75:C80)</f>
        <v>16515</v>
      </c>
      <c r="D81" s="106"/>
      <c r="E81" s="116" t="s">
        <v>90</v>
      </c>
      <c r="F81" s="117">
        <f>+SUM(F75:F80)</f>
        <v>200</v>
      </c>
      <c r="G81" s="96"/>
    </row>
    <row r="82" spans="1:7" ht="15.75" thickBot="1">
      <c r="A82" s="95"/>
      <c r="B82" s="90"/>
      <c r="C82" s="90"/>
      <c r="D82" s="118"/>
      <c r="E82" s="119" t="s">
        <v>91</v>
      </c>
      <c r="F82" s="120">
        <f>+C81-F81</f>
        <v>16315</v>
      </c>
      <c r="G82" s="96"/>
    </row>
    <row r="83" spans="1:7">
      <c r="A83" s="95"/>
      <c r="B83" s="90"/>
      <c r="C83" s="90"/>
      <c r="D83" s="118"/>
      <c r="E83" s="121"/>
      <c r="F83" s="121"/>
      <c r="G83" s="96"/>
    </row>
    <row r="84" spans="1:7">
      <c r="A84" s="122"/>
      <c r="B84" s="123" t="s">
        <v>92</v>
      </c>
      <c r="C84" s="124">
        <f>+F82</f>
        <v>16315</v>
      </c>
      <c r="D84" s="143" t="s">
        <v>93</v>
      </c>
      <c r="E84" s="143"/>
      <c r="F84" s="123" t="str">
        <f>VLOOKUP($F$71,'Pay Roll'!$A$7:$AI$28,21,0)</f>
        <v>0</v>
      </c>
      <c r="G84" s="125"/>
    </row>
    <row r="85" spans="1:7">
      <c r="A85" s="126"/>
      <c r="B85" s="126"/>
      <c r="C85" s="126"/>
      <c r="D85" s="126"/>
      <c r="E85" s="126"/>
      <c r="F85" s="126"/>
      <c r="G85" s="126"/>
    </row>
    <row r="86" spans="1:7">
      <c r="A86" s="126"/>
      <c r="B86" s="132" t="s">
        <v>94</v>
      </c>
      <c r="C86" s="126"/>
      <c r="D86" s="126"/>
      <c r="E86" s="126"/>
      <c r="F86" s="126"/>
      <c r="G86" s="126"/>
    </row>
    <row r="87" spans="1:7">
      <c r="A87" s="126"/>
      <c r="B87" s="126"/>
      <c r="C87" s="126"/>
      <c r="D87" s="126"/>
      <c r="E87" s="126"/>
      <c r="F87" s="126"/>
      <c r="G87" s="126"/>
    </row>
    <row r="88" spans="1:7">
      <c r="A88" s="126"/>
      <c r="B88" s="133" t="s">
        <v>95</v>
      </c>
      <c r="C88" s="107" t="s">
        <v>96</v>
      </c>
      <c r="D88" s="134" t="s">
        <v>97</v>
      </c>
      <c r="E88" s="135">
        <f>VLOOKUP($F$71,'Pay Roll'!$A$7:$AI$28,31,0)</f>
        <v>0</v>
      </c>
      <c r="F88" s="126"/>
      <c r="G88" s="126"/>
    </row>
    <row r="89" spans="1:7">
      <c r="A89" s="126"/>
      <c r="B89" s="133" t="s">
        <v>98</v>
      </c>
      <c r="C89" s="108">
        <f>VLOOKUP($F$71,'Pay Roll'!$A$7:$AI$28,23,0)</f>
        <v>0</v>
      </c>
      <c r="D89" s="126"/>
      <c r="E89" s="126"/>
      <c r="F89" s="126"/>
      <c r="G89" s="126"/>
    </row>
    <row r="90" spans="1:7">
      <c r="A90" s="126"/>
      <c r="B90" s="133" t="s">
        <v>99</v>
      </c>
      <c r="C90" s="108">
        <f>VLOOKUP($F$71,'Pay Roll'!$A$7:$AI$28,24,0)</f>
        <v>0</v>
      </c>
      <c r="D90" s="126"/>
      <c r="E90" s="126"/>
      <c r="F90" s="126"/>
      <c r="G90" s="126"/>
    </row>
    <row r="91" spans="1:7">
      <c r="A91" s="126"/>
      <c r="B91" s="133" t="s">
        <v>100</v>
      </c>
      <c r="C91" s="108">
        <f>VLOOKUP($F$71,'Pay Roll'!$A$7:$AI$28,25,0)</f>
        <v>0</v>
      </c>
      <c r="D91" s="126"/>
      <c r="E91" s="126"/>
      <c r="F91" s="126"/>
      <c r="G91" s="126"/>
    </row>
    <row r="92" spans="1:7">
      <c r="A92" s="126"/>
      <c r="B92" s="133" t="s">
        <v>101</v>
      </c>
      <c r="C92" s="108">
        <f>VLOOKUP($F$71,'Pay Roll'!$A$7:$AI$28,26,0)</f>
        <v>0</v>
      </c>
      <c r="D92" s="126"/>
      <c r="E92" s="126"/>
      <c r="F92" s="126"/>
      <c r="G92" s="126"/>
    </row>
    <row r="93" spans="1:7">
      <c r="A93" s="126"/>
      <c r="B93" s="133" t="s">
        <v>102</v>
      </c>
      <c r="C93" s="108">
        <f>VLOOKUP($F$71,'Pay Roll'!$A$7:$AI$28,28,0)</f>
        <v>0</v>
      </c>
      <c r="D93" s="126"/>
      <c r="E93" s="126"/>
      <c r="F93" s="126"/>
      <c r="G93" s="126"/>
    </row>
    <row r="94" spans="1:7">
      <c r="A94" s="126"/>
      <c r="B94" s="133" t="s">
        <v>103</v>
      </c>
      <c r="C94" s="108">
        <f>VLOOKUP($F$71,'Pay Roll'!$A$7:$AI$28,27,0)</f>
        <v>0</v>
      </c>
      <c r="D94" s="126"/>
      <c r="E94" s="126"/>
      <c r="F94" s="126"/>
      <c r="G94" s="126"/>
    </row>
    <row r="95" spans="1:7">
      <c r="A95" s="126"/>
      <c r="B95" s="136" t="s">
        <v>71</v>
      </c>
      <c r="C95" s="137">
        <f>SUM(C88:C94)</f>
        <v>0</v>
      </c>
      <c r="D95" s="126"/>
      <c r="E95" s="126"/>
      <c r="F95" s="126"/>
      <c r="G95" s="126"/>
    </row>
    <row r="96" spans="1:7">
      <c r="A96" s="126"/>
      <c r="B96" s="126"/>
      <c r="C96" s="126"/>
      <c r="D96" s="126"/>
      <c r="E96" s="126"/>
      <c r="F96" s="126"/>
      <c r="G96" s="126"/>
    </row>
    <row r="97" spans="1:7">
      <c r="A97" s="126"/>
      <c r="B97" s="126"/>
      <c r="C97" s="126"/>
      <c r="D97" s="126"/>
      <c r="E97" s="126"/>
      <c r="F97" s="126"/>
      <c r="G97" s="126"/>
    </row>
    <row r="98" spans="1:7">
      <c r="A98" s="127" t="s">
        <v>74</v>
      </c>
      <c r="B98" s="128">
        <f ca="1">TODAY()</f>
        <v>40456</v>
      </c>
      <c r="C98" s="129"/>
      <c r="D98" s="126"/>
      <c r="E98" s="140" t="s">
        <v>75</v>
      </c>
      <c r="F98" s="140"/>
      <c r="G98" s="126"/>
    </row>
  </sheetData>
  <mergeCells count="24">
    <mergeCell ref="E98:F98"/>
    <mergeCell ref="B46:F46"/>
    <mergeCell ref="B47:D47"/>
    <mergeCell ref="C48:D48"/>
    <mergeCell ref="F49:G49"/>
    <mergeCell ref="D61:E61"/>
    <mergeCell ref="E65:F65"/>
    <mergeCell ref="B69:F69"/>
    <mergeCell ref="B70:D70"/>
    <mergeCell ref="C71:D71"/>
    <mergeCell ref="F72:G72"/>
    <mergeCell ref="D84:E84"/>
    <mergeCell ref="E43:F43"/>
    <mergeCell ref="B3:F3"/>
    <mergeCell ref="B4:D4"/>
    <mergeCell ref="C5:D5"/>
    <mergeCell ref="F6:G6"/>
    <mergeCell ref="D18:E18"/>
    <mergeCell ref="E21:F21"/>
    <mergeCell ref="B25:F25"/>
    <mergeCell ref="B26:D26"/>
    <mergeCell ref="C27:D27"/>
    <mergeCell ref="F28:G28"/>
    <mergeCell ref="D40:E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32"/>
  <sheetViews>
    <sheetView workbookViewId="0"/>
  </sheetViews>
  <sheetFormatPr defaultRowHeight="12.75"/>
  <cols>
    <col min="1" max="1" width="10.28515625" style="37" bestFit="1" customWidth="1"/>
    <col min="2" max="2" width="41.7109375" style="37" bestFit="1" customWidth="1"/>
    <col min="3" max="3" width="41.5703125" style="37" customWidth="1"/>
    <col min="4" max="4" width="16.28515625" style="38" customWidth="1"/>
    <col min="5" max="5" width="6.85546875" style="39" customWidth="1"/>
    <col min="6" max="6" width="14.5703125" style="37" bestFit="1" customWidth="1"/>
    <col min="7" max="7" width="12.7109375" style="37" customWidth="1"/>
    <col min="8" max="8" width="14.85546875" style="37" customWidth="1"/>
    <col min="9" max="9" width="12.7109375" style="37" customWidth="1"/>
    <col min="10" max="10" width="11.5703125" style="37" customWidth="1"/>
    <col min="11" max="12" width="14.5703125" style="37" customWidth="1"/>
    <col min="13" max="13" width="11.5703125" style="37" bestFit="1" customWidth="1"/>
    <col min="14" max="14" width="10.42578125" style="37" bestFit="1" customWidth="1"/>
    <col min="15" max="15" width="12.7109375" style="37" bestFit="1" customWidth="1"/>
    <col min="16" max="16" width="11.5703125" style="37" customWidth="1"/>
    <col min="17" max="17" width="10.140625" style="37" customWidth="1"/>
    <col min="18" max="18" width="12.7109375" style="37" customWidth="1"/>
    <col min="19" max="19" width="14.5703125" style="37" customWidth="1"/>
    <col min="20" max="20" width="8.28515625" style="37" bestFit="1" customWidth="1"/>
    <col min="21" max="21" width="16.28515625" style="37" customWidth="1"/>
    <col min="22" max="22" width="10.42578125" style="37" bestFit="1" customWidth="1"/>
    <col min="23" max="23" width="12.7109375" style="37" bestFit="1" customWidth="1"/>
    <col min="24" max="24" width="11.5703125" style="37" customWidth="1"/>
    <col min="25" max="25" width="11.5703125" style="37" bestFit="1" customWidth="1"/>
    <col min="26" max="26" width="12.7109375" style="37" bestFit="1" customWidth="1"/>
    <col min="27" max="27" width="14.5703125" style="37" bestFit="1" customWidth="1"/>
    <col min="28" max="28" width="12.7109375" style="37" customWidth="1"/>
    <col min="29" max="30" width="11.42578125" style="37" customWidth="1"/>
    <col min="31" max="31" width="12.28515625" style="37" customWidth="1"/>
    <col min="32" max="32" width="12.140625" style="37" bestFit="1" customWidth="1"/>
    <col min="33" max="34" width="14.5703125" style="37" bestFit="1" customWidth="1"/>
    <col min="35" max="35" width="11.28515625" style="37" bestFit="1" customWidth="1"/>
    <col min="36" max="16384" width="9.140625" style="37"/>
  </cols>
  <sheetData>
    <row r="1" spans="1:40" ht="13.5" thickBot="1"/>
    <row r="2" spans="1:40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2"/>
      <c r="V2" s="40"/>
      <c r="W2" s="41"/>
      <c r="X2" s="40"/>
      <c r="Y2" s="41"/>
      <c r="Z2" s="41"/>
      <c r="AA2" s="41"/>
      <c r="AB2" s="41"/>
      <c r="AC2" s="41"/>
      <c r="AD2" s="41"/>
      <c r="AE2" s="41"/>
      <c r="AF2" s="41"/>
      <c r="AG2" s="42"/>
    </row>
    <row r="3" spans="1:40">
      <c r="A3" s="153" t="s">
        <v>132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5"/>
      <c r="V3" s="154" t="str">
        <f>+A3</f>
        <v xml:space="preserve">ABC LIMITED </v>
      </c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5"/>
      <c r="AH3" s="43"/>
      <c r="AI3" s="43"/>
      <c r="AJ3" s="43"/>
      <c r="AK3" s="43"/>
      <c r="AL3" s="43"/>
      <c r="AM3" s="43"/>
      <c r="AN3" s="44"/>
    </row>
    <row r="4" spans="1:40">
      <c r="A4" s="156" t="s">
        <v>36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8"/>
      <c r="V4" s="157" t="str">
        <f>+A4</f>
        <v>SALARY FOR THE MONTH OF SEPTEMBER-2010</v>
      </c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8"/>
      <c r="AH4" s="45"/>
      <c r="AI4" s="45"/>
      <c r="AJ4" s="45"/>
      <c r="AK4" s="45"/>
      <c r="AL4" s="45"/>
      <c r="AM4" s="45"/>
      <c r="AN4" s="46"/>
    </row>
    <row r="5" spans="1:40" ht="14.25" customHeight="1" thickBo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34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8"/>
    </row>
    <row r="6" spans="1:40" ht="13.5" thickBot="1">
      <c r="A6" s="7" t="s">
        <v>2</v>
      </c>
      <c r="B6" s="8" t="s">
        <v>0</v>
      </c>
      <c r="C6" s="8" t="s">
        <v>3</v>
      </c>
      <c r="D6" s="8" t="s">
        <v>37</v>
      </c>
      <c r="E6" s="49" t="s">
        <v>38</v>
      </c>
      <c r="F6" s="144" t="s">
        <v>4</v>
      </c>
      <c r="G6" s="145"/>
      <c r="H6" s="145"/>
      <c r="I6" s="145"/>
      <c r="J6" s="145"/>
      <c r="K6" s="146"/>
      <c r="L6" s="8" t="s">
        <v>5</v>
      </c>
      <c r="M6" s="147" t="s">
        <v>6</v>
      </c>
      <c r="N6" s="148"/>
      <c r="O6" s="148"/>
      <c r="P6" s="148"/>
      <c r="Q6" s="149"/>
      <c r="R6" s="10" t="s">
        <v>7</v>
      </c>
      <c r="S6" s="50" t="s">
        <v>8</v>
      </c>
      <c r="T6" s="50" t="s">
        <v>9</v>
      </c>
      <c r="U6" s="50"/>
      <c r="V6" s="148" t="s">
        <v>10</v>
      </c>
      <c r="W6" s="148"/>
      <c r="X6" s="148"/>
      <c r="Y6" s="148"/>
      <c r="Z6" s="148"/>
      <c r="AA6" s="148"/>
      <c r="AB6" s="7" t="s">
        <v>39</v>
      </c>
      <c r="AC6" s="8" t="s">
        <v>12</v>
      </c>
      <c r="AD6" s="8" t="s">
        <v>13</v>
      </c>
      <c r="AE6" s="8" t="s">
        <v>14</v>
      </c>
      <c r="AF6" s="8" t="s">
        <v>15</v>
      </c>
      <c r="AG6" s="9" t="s">
        <v>11</v>
      </c>
    </row>
    <row r="7" spans="1:40" ht="13.5" thickBot="1">
      <c r="A7" s="10" t="s">
        <v>35</v>
      </c>
      <c r="B7" s="6"/>
      <c r="C7" s="8"/>
      <c r="D7" s="8"/>
      <c r="E7" s="11" t="s">
        <v>16</v>
      </c>
      <c r="F7" s="8" t="s">
        <v>17</v>
      </c>
      <c r="G7" s="8" t="s">
        <v>18</v>
      </c>
      <c r="H7" s="8" t="s">
        <v>40</v>
      </c>
      <c r="I7" s="8" t="s">
        <v>19</v>
      </c>
      <c r="J7" s="8" t="s">
        <v>20</v>
      </c>
      <c r="K7" s="8" t="s">
        <v>21</v>
      </c>
      <c r="L7" s="12"/>
      <c r="M7" s="51" t="s">
        <v>22</v>
      </c>
      <c r="N7" s="51" t="s">
        <v>23</v>
      </c>
      <c r="O7" s="10" t="s">
        <v>24</v>
      </c>
      <c r="P7" s="10" t="s">
        <v>41</v>
      </c>
      <c r="Q7" s="10" t="s">
        <v>25</v>
      </c>
      <c r="R7" s="52" t="s">
        <v>26</v>
      </c>
      <c r="S7" s="51" t="s">
        <v>27</v>
      </c>
      <c r="T7" s="52" t="s">
        <v>28</v>
      </c>
      <c r="U7" s="52" t="s">
        <v>29</v>
      </c>
      <c r="V7" s="35" t="s">
        <v>42</v>
      </c>
      <c r="W7" s="13" t="s">
        <v>43</v>
      </c>
      <c r="X7" s="13" t="s">
        <v>30</v>
      </c>
      <c r="Y7" s="13" t="s">
        <v>44</v>
      </c>
      <c r="Z7" s="14" t="s">
        <v>45</v>
      </c>
      <c r="AA7" s="53" t="s">
        <v>31</v>
      </c>
      <c r="AB7" s="54"/>
      <c r="AC7" s="15"/>
      <c r="AD7" s="15"/>
      <c r="AE7" s="6" t="s">
        <v>32</v>
      </c>
      <c r="AF7" s="6" t="s">
        <v>32</v>
      </c>
      <c r="AG7" s="16"/>
    </row>
    <row r="8" spans="1:40">
      <c r="A8" s="29" t="s">
        <v>46</v>
      </c>
      <c r="B8" s="3" t="s">
        <v>106</v>
      </c>
      <c r="C8" s="26" t="s">
        <v>126</v>
      </c>
      <c r="D8" s="17"/>
      <c r="E8" s="18" t="s">
        <v>16</v>
      </c>
      <c r="F8" s="19">
        <f>8050/E$7*E8</f>
        <v>8049.9999999999991</v>
      </c>
      <c r="G8" s="19">
        <f>4025/E$7*E8</f>
        <v>4024.9999999999995</v>
      </c>
      <c r="H8" s="19">
        <f>800/E$7*E8</f>
        <v>800</v>
      </c>
      <c r="I8" s="19">
        <f>1250/E$7*E8</f>
        <v>1250</v>
      </c>
      <c r="J8" s="19">
        <f t="shared" ref="J8:J18" si="0">0/E$7*E8</f>
        <v>0</v>
      </c>
      <c r="K8" s="19">
        <f>8875/E$7*E8</f>
        <v>8875</v>
      </c>
      <c r="L8" s="19">
        <f t="shared" ref="L8:L27" si="1">SUM(F8:K8)</f>
        <v>23000</v>
      </c>
      <c r="M8" s="20">
        <v>0</v>
      </c>
      <c r="N8" s="20">
        <f t="shared" ref="N8:N27" si="2">ROUND(IF(L8&lt;15001,L8*1.75%),1)</f>
        <v>0</v>
      </c>
      <c r="O8" s="20">
        <v>0</v>
      </c>
      <c r="P8" s="20">
        <v>200</v>
      </c>
      <c r="Q8" s="20">
        <v>0</v>
      </c>
      <c r="R8" s="20">
        <f t="shared" ref="R8:R19" si="3">+M8+N8+Q8+O8+P8</f>
        <v>200</v>
      </c>
      <c r="S8" s="20">
        <f t="shared" ref="S8:S27" si="4">L8-R8</f>
        <v>22800</v>
      </c>
      <c r="T8" s="21" t="s">
        <v>33</v>
      </c>
      <c r="U8" s="62">
        <v>0</v>
      </c>
      <c r="V8" s="20">
        <f t="shared" ref="V8:V27" si="5">0/E$7*E8</f>
        <v>0</v>
      </c>
      <c r="W8" s="20">
        <f>0/E$7*E8</f>
        <v>0</v>
      </c>
      <c r="X8" s="20">
        <f>0/E$7*E8</f>
        <v>0</v>
      </c>
      <c r="Y8" s="20">
        <f t="shared" ref="Y8:Y18" si="6">0/E$7*E8</f>
        <v>0</v>
      </c>
      <c r="Z8" s="20">
        <f t="shared" ref="Z8:Z27" si="7">0/E$7*E8</f>
        <v>0</v>
      </c>
      <c r="AA8" s="20">
        <f>0/E$7*E8</f>
        <v>0</v>
      </c>
      <c r="AB8" s="20">
        <f t="shared" ref="AB8:AB27" si="8">SUM(V8:AA8)</f>
        <v>0</v>
      </c>
      <c r="AC8" s="63">
        <v>0</v>
      </c>
      <c r="AD8" s="22"/>
      <c r="AE8" s="20">
        <f t="shared" ref="AE8:AE17" si="9">+M8</f>
        <v>0</v>
      </c>
      <c r="AF8" s="64"/>
      <c r="AG8" s="32">
        <f t="shared" ref="AG8:AG27" si="10">L8+AB8+AC8+AD8+AE8+AF8</f>
        <v>23000</v>
      </c>
      <c r="AH8" s="23">
        <v>23000</v>
      </c>
      <c r="AI8" s="33">
        <f t="shared" ref="AI8:AI27" si="11">+AH8-AG8</f>
        <v>0</v>
      </c>
    </row>
    <row r="9" spans="1:40">
      <c r="A9" s="29" t="s">
        <v>47</v>
      </c>
      <c r="B9" s="3" t="s">
        <v>107</v>
      </c>
      <c r="C9" s="26" t="s">
        <v>127</v>
      </c>
      <c r="D9" s="17"/>
      <c r="E9" s="18" t="s">
        <v>16</v>
      </c>
      <c r="F9" s="19">
        <f>8000/E$7*E9</f>
        <v>8000.0000000000009</v>
      </c>
      <c r="G9" s="19">
        <f>4000/E$7*E9</f>
        <v>4000.0000000000005</v>
      </c>
      <c r="H9" s="19">
        <f>800/E$7*E9</f>
        <v>800</v>
      </c>
      <c r="I9" s="19">
        <f>1250/E$7*E9</f>
        <v>1250</v>
      </c>
      <c r="J9" s="19">
        <f t="shared" si="0"/>
        <v>0</v>
      </c>
      <c r="K9" s="19">
        <f>(7950)/E$7*E9</f>
        <v>7950</v>
      </c>
      <c r="L9" s="19">
        <f t="shared" si="1"/>
        <v>22000</v>
      </c>
      <c r="M9" s="20">
        <v>0</v>
      </c>
      <c r="N9" s="20">
        <f t="shared" si="2"/>
        <v>0</v>
      </c>
      <c r="O9" s="20">
        <v>0</v>
      </c>
      <c r="P9" s="20">
        <v>200</v>
      </c>
      <c r="Q9" s="20">
        <v>0</v>
      </c>
      <c r="R9" s="20">
        <f t="shared" si="3"/>
        <v>200</v>
      </c>
      <c r="S9" s="20">
        <f t="shared" si="4"/>
        <v>21800</v>
      </c>
      <c r="T9" s="21" t="s">
        <v>33</v>
      </c>
      <c r="U9" s="62">
        <v>0</v>
      </c>
      <c r="V9" s="20">
        <f t="shared" si="5"/>
        <v>0</v>
      </c>
      <c r="W9" s="20">
        <f>0/E$7*E9</f>
        <v>0</v>
      </c>
      <c r="X9" s="20">
        <f>0/E$7*E9</f>
        <v>0</v>
      </c>
      <c r="Y9" s="20">
        <f t="shared" si="6"/>
        <v>0</v>
      </c>
      <c r="Z9" s="20">
        <f t="shared" si="7"/>
        <v>0</v>
      </c>
      <c r="AA9" s="20">
        <f>0/E$7*E9</f>
        <v>0</v>
      </c>
      <c r="AB9" s="20">
        <f t="shared" si="8"/>
        <v>0</v>
      </c>
      <c r="AC9" s="63">
        <v>0</v>
      </c>
      <c r="AD9" s="22"/>
      <c r="AE9" s="20">
        <f t="shared" si="9"/>
        <v>0</v>
      </c>
      <c r="AF9" s="64"/>
      <c r="AG9" s="32">
        <f t="shared" si="10"/>
        <v>22000</v>
      </c>
      <c r="AH9" s="23">
        <v>22000</v>
      </c>
      <c r="AI9" s="33">
        <f t="shared" si="11"/>
        <v>0</v>
      </c>
    </row>
    <row r="10" spans="1:40">
      <c r="A10" s="29" t="s">
        <v>48</v>
      </c>
      <c r="B10" s="3" t="s">
        <v>108</v>
      </c>
      <c r="C10" s="26" t="s">
        <v>128</v>
      </c>
      <c r="D10" s="17"/>
      <c r="E10" s="18" t="s">
        <v>16</v>
      </c>
      <c r="F10" s="19">
        <f>8000/E$7*E10</f>
        <v>8000.0000000000009</v>
      </c>
      <c r="G10" s="19">
        <f>4000/E$7*E10</f>
        <v>4000.0000000000005</v>
      </c>
      <c r="H10" s="19">
        <f>800/E$7*E10</f>
        <v>800</v>
      </c>
      <c r="I10" s="19">
        <f>1250/E$7*E10</f>
        <v>1250</v>
      </c>
      <c r="J10" s="19">
        <f t="shared" si="0"/>
        <v>0</v>
      </c>
      <c r="K10" s="19">
        <f>7950/E$7*E10</f>
        <v>7950</v>
      </c>
      <c r="L10" s="19">
        <f t="shared" si="1"/>
        <v>22000</v>
      </c>
      <c r="M10" s="20">
        <v>0</v>
      </c>
      <c r="N10" s="20">
        <f t="shared" si="2"/>
        <v>0</v>
      </c>
      <c r="O10" s="20">
        <v>0</v>
      </c>
      <c r="P10" s="20">
        <v>200</v>
      </c>
      <c r="Q10" s="20">
        <v>0</v>
      </c>
      <c r="R10" s="20">
        <f t="shared" si="3"/>
        <v>200</v>
      </c>
      <c r="S10" s="20">
        <f t="shared" si="4"/>
        <v>21800</v>
      </c>
      <c r="T10" s="21" t="s">
        <v>33</v>
      </c>
      <c r="U10" s="30" t="s">
        <v>131</v>
      </c>
      <c r="V10" s="20">
        <f t="shared" si="5"/>
        <v>0</v>
      </c>
      <c r="W10" s="20">
        <f>0/E$7*E10</f>
        <v>0</v>
      </c>
      <c r="X10" s="20">
        <f>0/E$7*E10</f>
        <v>0</v>
      </c>
      <c r="Y10" s="20">
        <f t="shared" si="6"/>
        <v>0</v>
      </c>
      <c r="Z10" s="20">
        <f t="shared" si="7"/>
        <v>0</v>
      </c>
      <c r="AA10" s="20">
        <f>0/E$7*E10</f>
        <v>0</v>
      </c>
      <c r="AB10" s="20">
        <f t="shared" si="8"/>
        <v>0</v>
      </c>
      <c r="AC10" s="63">
        <v>0</v>
      </c>
      <c r="AD10" s="22"/>
      <c r="AE10" s="20">
        <f t="shared" si="9"/>
        <v>0</v>
      </c>
      <c r="AF10" s="64"/>
      <c r="AG10" s="32">
        <f t="shared" si="10"/>
        <v>22000</v>
      </c>
      <c r="AH10" s="23">
        <v>22000</v>
      </c>
      <c r="AI10" s="33">
        <f t="shared" si="11"/>
        <v>0</v>
      </c>
    </row>
    <row r="11" spans="1:40" s="25" customFormat="1">
      <c r="A11" s="65" t="s">
        <v>49</v>
      </c>
      <c r="B11" s="3" t="s">
        <v>109</v>
      </c>
      <c r="C11" s="26" t="s">
        <v>70</v>
      </c>
      <c r="D11" s="28">
        <v>39440</v>
      </c>
      <c r="E11" s="18" t="s">
        <v>16</v>
      </c>
      <c r="F11" s="19">
        <f>15750/E$7*E11</f>
        <v>15750</v>
      </c>
      <c r="G11" s="19">
        <f>7875/E$7*E11</f>
        <v>7875</v>
      </c>
      <c r="H11" s="19">
        <f>800/E$7*E11</f>
        <v>800</v>
      </c>
      <c r="I11" s="19">
        <f>1250/E$7*E11</f>
        <v>1250</v>
      </c>
      <c r="J11" s="19">
        <f t="shared" si="0"/>
        <v>0</v>
      </c>
      <c r="K11" s="19">
        <f>(15078+247)/E$7*E11</f>
        <v>15325</v>
      </c>
      <c r="L11" s="19">
        <f t="shared" si="1"/>
        <v>41000</v>
      </c>
      <c r="M11" s="20">
        <v>0</v>
      </c>
      <c r="N11" s="20">
        <f t="shared" si="2"/>
        <v>0</v>
      </c>
      <c r="O11" s="20">
        <v>2051</v>
      </c>
      <c r="P11" s="20">
        <v>200</v>
      </c>
      <c r="Q11" s="20">
        <v>0</v>
      </c>
      <c r="R11" s="20">
        <f t="shared" si="3"/>
        <v>2251</v>
      </c>
      <c r="S11" s="20">
        <f t="shared" si="4"/>
        <v>38749</v>
      </c>
      <c r="T11" s="21" t="s">
        <v>33</v>
      </c>
      <c r="U11" s="30" t="s">
        <v>131</v>
      </c>
      <c r="V11" s="20">
        <f t="shared" si="5"/>
        <v>0</v>
      </c>
      <c r="W11" s="20">
        <f>3000/E$7*E11</f>
        <v>3000</v>
      </c>
      <c r="X11" s="20">
        <f>0/E$7*E11</f>
        <v>0</v>
      </c>
      <c r="Y11" s="20">
        <f t="shared" si="6"/>
        <v>0</v>
      </c>
      <c r="Z11" s="20">
        <f t="shared" si="7"/>
        <v>0</v>
      </c>
      <c r="AA11" s="20">
        <f>1000/E$7*E11</f>
        <v>1000.0000000000001</v>
      </c>
      <c r="AB11" s="20">
        <f t="shared" si="8"/>
        <v>4000</v>
      </c>
      <c r="AC11" s="20">
        <v>0</v>
      </c>
      <c r="AD11" s="22"/>
      <c r="AE11" s="20">
        <f t="shared" si="9"/>
        <v>0</v>
      </c>
      <c r="AF11" s="22">
        <v>0</v>
      </c>
      <c r="AG11" s="32">
        <f t="shared" si="10"/>
        <v>45000</v>
      </c>
      <c r="AH11" s="23">
        <v>45000</v>
      </c>
      <c r="AI11" s="33">
        <f t="shared" si="11"/>
        <v>0</v>
      </c>
    </row>
    <row r="12" spans="1:40" s="25" customFormat="1">
      <c r="A12" s="66" t="s">
        <v>50</v>
      </c>
      <c r="B12" s="3" t="s">
        <v>110</v>
      </c>
      <c r="C12" s="31" t="s">
        <v>129</v>
      </c>
      <c r="D12" s="28">
        <v>39479</v>
      </c>
      <c r="E12" s="18" t="s">
        <v>16</v>
      </c>
      <c r="F12" s="19">
        <f>7000/E$7*E12</f>
        <v>7000</v>
      </c>
      <c r="G12" s="19">
        <f>4000/E$7*E12</f>
        <v>4000.0000000000005</v>
      </c>
      <c r="H12" s="19">
        <f t="shared" ref="H12:H27" si="12">800/E$7*E12</f>
        <v>800</v>
      </c>
      <c r="I12" s="19">
        <f t="shared" ref="I12:I18" si="13">1250/E$7*E12</f>
        <v>1250</v>
      </c>
      <c r="J12" s="19">
        <f t="shared" si="0"/>
        <v>0</v>
      </c>
      <c r="K12" s="19">
        <f>(5085)/E$7*E12</f>
        <v>5085</v>
      </c>
      <c r="L12" s="19">
        <f t="shared" si="1"/>
        <v>18135</v>
      </c>
      <c r="M12" s="20">
        <v>0</v>
      </c>
      <c r="N12" s="20">
        <f t="shared" si="2"/>
        <v>0</v>
      </c>
      <c r="O12" s="20">
        <v>0</v>
      </c>
      <c r="P12" s="20">
        <v>200</v>
      </c>
      <c r="Q12" s="20">
        <v>0</v>
      </c>
      <c r="R12" s="20">
        <f t="shared" si="3"/>
        <v>200</v>
      </c>
      <c r="S12" s="20">
        <f t="shared" si="4"/>
        <v>17935</v>
      </c>
      <c r="T12" s="21" t="s">
        <v>33</v>
      </c>
      <c r="U12" s="30" t="s">
        <v>131</v>
      </c>
      <c r="V12" s="20">
        <f t="shared" si="5"/>
        <v>0</v>
      </c>
      <c r="W12" s="20">
        <f t="shared" ref="W12:W18" si="14">0/E$7*E12</f>
        <v>0</v>
      </c>
      <c r="X12" s="20">
        <f t="shared" ref="X12:X27" si="15">0/E$7*E12</f>
        <v>0</v>
      </c>
      <c r="Y12" s="20">
        <f t="shared" si="6"/>
        <v>0</v>
      </c>
      <c r="Z12" s="20">
        <f t="shared" si="7"/>
        <v>0</v>
      </c>
      <c r="AA12" s="20">
        <f t="shared" ref="AA12:AA18" si="16">0/E$7*E12</f>
        <v>0</v>
      </c>
      <c r="AB12" s="20">
        <f t="shared" si="8"/>
        <v>0</v>
      </c>
      <c r="AC12" s="55">
        <v>0</v>
      </c>
      <c r="AD12" s="22"/>
      <c r="AE12" s="20">
        <f t="shared" si="9"/>
        <v>0</v>
      </c>
      <c r="AF12" s="22"/>
      <c r="AG12" s="32">
        <f t="shared" si="10"/>
        <v>18135</v>
      </c>
      <c r="AH12" s="23">
        <v>18135</v>
      </c>
      <c r="AI12" s="33">
        <f t="shared" si="11"/>
        <v>0</v>
      </c>
    </row>
    <row r="13" spans="1:40" s="25" customFormat="1">
      <c r="A13" s="66" t="s">
        <v>51</v>
      </c>
      <c r="B13" s="3" t="s">
        <v>111</v>
      </c>
      <c r="C13" s="27" t="s">
        <v>130</v>
      </c>
      <c r="D13" s="28">
        <v>39484</v>
      </c>
      <c r="E13" s="18" t="s">
        <v>16</v>
      </c>
      <c r="F13" s="19">
        <f>7000/E$7*E13</f>
        <v>7000</v>
      </c>
      <c r="G13" s="19">
        <f>4000/E$7*E13</f>
        <v>4000.0000000000005</v>
      </c>
      <c r="H13" s="19">
        <f t="shared" si="12"/>
        <v>800</v>
      </c>
      <c r="I13" s="19">
        <f t="shared" si="13"/>
        <v>1250</v>
      </c>
      <c r="J13" s="19">
        <f t="shared" si="0"/>
        <v>0</v>
      </c>
      <c r="K13" s="19">
        <f>(3465)/E$7*E13</f>
        <v>3465</v>
      </c>
      <c r="L13" s="19">
        <f t="shared" si="1"/>
        <v>16515</v>
      </c>
      <c r="M13" s="20">
        <v>0</v>
      </c>
      <c r="N13" s="20">
        <f t="shared" si="2"/>
        <v>0</v>
      </c>
      <c r="O13" s="20">
        <v>0</v>
      </c>
      <c r="P13" s="20">
        <v>200</v>
      </c>
      <c r="Q13" s="20">
        <v>0</v>
      </c>
      <c r="R13" s="20">
        <f t="shared" si="3"/>
        <v>200</v>
      </c>
      <c r="S13" s="20">
        <f t="shared" si="4"/>
        <v>16315</v>
      </c>
      <c r="T13" s="21" t="s">
        <v>33</v>
      </c>
      <c r="U13" s="30" t="s">
        <v>131</v>
      </c>
      <c r="V13" s="20">
        <f t="shared" si="5"/>
        <v>0</v>
      </c>
      <c r="W13" s="20">
        <f t="shared" si="14"/>
        <v>0</v>
      </c>
      <c r="X13" s="20">
        <f t="shared" si="15"/>
        <v>0</v>
      </c>
      <c r="Y13" s="20">
        <f t="shared" si="6"/>
        <v>0</v>
      </c>
      <c r="Z13" s="20">
        <f t="shared" si="7"/>
        <v>0</v>
      </c>
      <c r="AA13" s="20">
        <f t="shared" si="16"/>
        <v>0</v>
      </c>
      <c r="AB13" s="20">
        <f t="shared" si="8"/>
        <v>0</v>
      </c>
      <c r="AC13" s="55">
        <v>0</v>
      </c>
      <c r="AD13" s="22"/>
      <c r="AE13" s="20">
        <f t="shared" si="9"/>
        <v>0</v>
      </c>
      <c r="AF13" s="22"/>
      <c r="AG13" s="32">
        <f t="shared" si="10"/>
        <v>16515</v>
      </c>
      <c r="AH13" s="23">
        <v>16515</v>
      </c>
      <c r="AI13" s="33">
        <f t="shared" si="11"/>
        <v>0</v>
      </c>
    </row>
    <row r="14" spans="1:40" s="25" customFormat="1">
      <c r="A14" s="66" t="s">
        <v>52</v>
      </c>
      <c r="B14" s="3" t="s">
        <v>112</v>
      </c>
      <c r="C14" s="26" t="s">
        <v>128</v>
      </c>
      <c r="D14" s="28">
        <v>39485</v>
      </c>
      <c r="E14" s="18" t="s">
        <v>16</v>
      </c>
      <c r="F14" s="19">
        <f>7000/E$7*E14</f>
        <v>7000</v>
      </c>
      <c r="G14" s="19">
        <f>4000/E$7*E14</f>
        <v>4000.0000000000005</v>
      </c>
      <c r="H14" s="19">
        <f t="shared" si="12"/>
        <v>800</v>
      </c>
      <c r="I14" s="19">
        <f t="shared" si="13"/>
        <v>1250</v>
      </c>
      <c r="J14" s="19">
        <f t="shared" si="0"/>
        <v>0</v>
      </c>
      <c r="K14" s="19">
        <f>(5086)/E$7*E14</f>
        <v>5086</v>
      </c>
      <c r="L14" s="19">
        <f t="shared" si="1"/>
        <v>18136</v>
      </c>
      <c r="M14" s="20">
        <v>0</v>
      </c>
      <c r="N14" s="20">
        <f t="shared" si="2"/>
        <v>0</v>
      </c>
      <c r="O14" s="20">
        <v>0</v>
      </c>
      <c r="P14" s="20">
        <v>200</v>
      </c>
      <c r="Q14" s="20">
        <v>0</v>
      </c>
      <c r="R14" s="20">
        <f t="shared" si="3"/>
        <v>200</v>
      </c>
      <c r="S14" s="20">
        <f t="shared" si="4"/>
        <v>17936</v>
      </c>
      <c r="T14" s="21" t="s">
        <v>33</v>
      </c>
      <c r="U14" s="30" t="s">
        <v>131</v>
      </c>
      <c r="V14" s="20">
        <f t="shared" si="5"/>
        <v>0</v>
      </c>
      <c r="W14" s="20">
        <f t="shared" si="14"/>
        <v>0</v>
      </c>
      <c r="X14" s="20">
        <f t="shared" si="15"/>
        <v>0</v>
      </c>
      <c r="Y14" s="20">
        <f t="shared" si="6"/>
        <v>0</v>
      </c>
      <c r="Z14" s="20">
        <f t="shared" si="7"/>
        <v>0</v>
      </c>
      <c r="AA14" s="20">
        <f t="shared" si="16"/>
        <v>0</v>
      </c>
      <c r="AB14" s="20">
        <f t="shared" si="8"/>
        <v>0</v>
      </c>
      <c r="AC14" s="55">
        <v>0</v>
      </c>
      <c r="AD14" s="22"/>
      <c r="AE14" s="20">
        <f t="shared" si="9"/>
        <v>0</v>
      </c>
      <c r="AF14" s="22"/>
      <c r="AG14" s="32">
        <f t="shared" si="10"/>
        <v>18136</v>
      </c>
      <c r="AH14" s="23">
        <v>18136</v>
      </c>
      <c r="AI14" s="33">
        <f t="shared" si="11"/>
        <v>0</v>
      </c>
    </row>
    <row r="15" spans="1:40" s="25" customFormat="1">
      <c r="A15" s="66" t="s">
        <v>53</v>
      </c>
      <c r="B15" s="3" t="s">
        <v>113</v>
      </c>
      <c r="C15" s="26" t="s">
        <v>128</v>
      </c>
      <c r="D15" s="28">
        <v>39486</v>
      </c>
      <c r="E15" s="18" t="s">
        <v>16</v>
      </c>
      <c r="F15" s="19">
        <f>8000/E$7*E15</f>
        <v>8000.0000000000009</v>
      </c>
      <c r="G15" s="19">
        <f>5000/E$7*E15</f>
        <v>5000</v>
      </c>
      <c r="H15" s="19">
        <f t="shared" si="12"/>
        <v>800</v>
      </c>
      <c r="I15" s="19">
        <f t="shared" si="13"/>
        <v>1250</v>
      </c>
      <c r="J15" s="19">
        <f t="shared" si="0"/>
        <v>0</v>
      </c>
      <c r="K15" s="19">
        <f>(6950)/E$7*E15</f>
        <v>6950</v>
      </c>
      <c r="L15" s="19">
        <f t="shared" si="1"/>
        <v>22000</v>
      </c>
      <c r="M15" s="20">
        <v>0</v>
      </c>
      <c r="N15" s="20">
        <f t="shared" si="2"/>
        <v>0</v>
      </c>
      <c r="O15" s="20">
        <v>0</v>
      </c>
      <c r="P15" s="20">
        <v>200</v>
      </c>
      <c r="Q15" s="20">
        <v>0</v>
      </c>
      <c r="R15" s="20">
        <f t="shared" si="3"/>
        <v>200</v>
      </c>
      <c r="S15" s="20">
        <f t="shared" si="4"/>
        <v>21800</v>
      </c>
      <c r="T15" s="21" t="s">
        <v>33</v>
      </c>
      <c r="U15" s="67">
        <v>0</v>
      </c>
      <c r="V15" s="20">
        <f t="shared" si="5"/>
        <v>0</v>
      </c>
      <c r="W15" s="20">
        <f t="shared" si="14"/>
        <v>0</v>
      </c>
      <c r="X15" s="20">
        <f t="shared" si="15"/>
        <v>0</v>
      </c>
      <c r="Y15" s="20">
        <f t="shared" si="6"/>
        <v>0</v>
      </c>
      <c r="Z15" s="20">
        <f t="shared" si="7"/>
        <v>0</v>
      </c>
      <c r="AA15" s="20">
        <f t="shared" si="16"/>
        <v>0</v>
      </c>
      <c r="AB15" s="20">
        <f t="shared" si="8"/>
        <v>0</v>
      </c>
      <c r="AC15" s="55">
        <v>0</v>
      </c>
      <c r="AD15" s="22"/>
      <c r="AE15" s="20">
        <f t="shared" si="9"/>
        <v>0</v>
      </c>
      <c r="AF15" s="22"/>
      <c r="AG15" s="32">
        <f t="shared" si="10"/>
        <v>22000</v>
      </c>
      <c r="AH15" s="23">
        <v>22000</v>
      </c>
      <c r="AI15" s="33">
        <f t="shared" si="11"/>
        <v>0</v>
      </c>
    </row>
    <row r="16" spans="1:40" s="25" customFormat="1">
      <c r="A16" s="66" t="s">
        <v>54</v>
      </c>
      <c r="B16" s="3" t="s">
        <v>114</v>
      </c>
      <c r="C16" s="26" t="s">
        <v>128</v>
      </c>
      <c r="D16" s="28">
        <v>39487</v>
      </c>
      <c r="E16" s="18" t="s">
        <v>16</v>
      </c>
      <c r="F16" s="19">
        <f>7000/E$7*E16</f>
        <v>7000</v>
      </c>
      <c r="G16" s="19">
        <f>4000/E$7*E16</f>
        <v>4000.0000000000005</v>
      </c>
      <c r="H16" s="19">
        <f t="shared" si="12"/>
        <v>800</v>
      </c>
      <c r="I16" s="19">
        <f t="shared" si="13"/>
        <v>1250</v>
      </c>
      <c r="J16" s="19">
        <f t="shared" si="0"/>
        <v>0</v>
      </c>
      <c r="K16" s="19">
        <f>(2654)/E$7*E16</f>
        <v>2654</v>
      </c>
      <c r="L16" s="19">
        <f t="shared" si="1"/>
        <v>15704</v>
      </c>
      <c r="M16" s="20">
        <v>0</v>
      </c>
      <c r="N16" s="20">
        <f t="shared" si="2"/>
        <v>0</v>
      </c>
      <c r="O16" s="20">
        <v>0</v>
      </c>
      <c r="P16" s="20">
        <v>200</v>
      </c>
      <c r="Q16" s="20">
        <v>0</v>
      </c>
      <c r="R16" s="20">
        <f t="shared" si="3"/>
        <v>200</v>
      </c>
      <c r="S16" s="20">
        <f t="shared" si="4"/>
        <v>15504</v>
      </c>
      <c r="T16" s="21" t="s">
        <v>33</v>
      </c>
      <c r="U16" s="30" t="s">
        <v>131</v>
      </c>
      <c r="V16" s="20">
        <f t="shared" si="5"/>
        <v>0</v>
      </c>
      <c r="W16" s="20">
        <f t="shared" si="14"/>
        <v>0</v>
      </c>
      <c r="X16" s="20">
        <f t="shared" si="15"/>
        <v>0</v>
      </c>
      <c r="Y16" s="20">
        <f t="shared" si="6"/>
        <v>0</v>
      </c>
      <c r="Z16" s="20">
        <f t="shared" si="7"/>
        <v>0</v>
      </c>
      <c r="AA16" s="20">
        <f t="shared" si="16"/>
        <v>0</v>
      </c>
      <c r="AB16" s="20">
        <f t="shared" si="8"/>
        <v>0</v>
      </c>
      <c r="AC16" s="55">
        <v>0</v>
      </c>
      <c r="AD16" s="22"/>
      <c r="AE16" s="20">
        <f t="shared" si="9"/>
        <v>0</v>
      </c>
      <c r="AF16" s="22"/>
      <c r="AG16" s="32">
        <f t="shared" si="10"/>
        <v>15704</v>
      </c>
      <c r="AH16" s="23">
        <v>15704</v>
      </c>
      <c r="AI16" s="33">
        <f t="shared" si="11"/>
        <v>0</v>
      </c>
    </row>
    <row r="17" spans="1:35" s="25" customFormat="1">
      <c r="A17" s="68" t="s">
        <v>55</v>
      </c>
      <c r="B17" s="3" t="s">
        <v>115</v>
      </c>
      <c r="C17" s="26" t="s">
        <v>128</v>
      </c>
      <c r="D17" s="28">
        <v>39498</v>
      </c>
      <c r="E17" s="18" t="s">
        <v>16</v>
      </c>
      <c r="F17" s="19">
        <f>7000/E$7*E17</f>
        <v>7000</v>
      </c>
      <c r="G17" s="19">
        <f>4000/E$7*E17</f>
        <v>4000.0000000000005</v>
      </c>
      <c r="H17" s="19">
        <f t="shared" si="12"/>
        <v>800</v>
      </c>
      <c r="I17" s="19">
        <f t="shared" si="13"/>
        <v>1250</v>
      </c>
      <c r="J17" s="19">
        <f t="shared" si="0"/>
        <v>0</v>
      </c>
      <c r="K17" s="19">
        <f>(3870)/E$7*E17</f>
        <v>3870</v>
      </c>
      <c r="L17" s="19">
        <f t="shared" si="1"/>
        <v>16920</v>
      </c>
      <c r="M17" s="20">
        <v>0</v>
      </c>
      <c r="N17" s="20">
        <f t="shared" si="2"/>
        <v>0</v>
      </c>
      <c r="O17" s="20">
        <v>0</v>
      </c>
      <c r="P17" s="20">
        <v>200</v>
      </c>
      <c r="Q17" s="20">
        <v>0</v>
      </c>
      <c r="R17" s="20">
        <f t="shared" si="3"/>
        <v>200</v>
      </c>
      <c r="S17" s="20">
        <f t="shared" si="4"/>
        <v>16720</v>
      </c>
      <c r="T17" s="21" t="s">
        <v>33</v>
      </c>
      <c r="U17" s="30" t="s">
        <v>131</v>
      </c>
      <c r="V17" s="20">
        <f t="shared" si="5"/>
        <v>0</v>
      </c>
      <c r="W17" s="20">
        <f t="shared" si="14"/>
        <v>0</v>
      </c>
      <c r="X17" s="20">
        <f t="shared" si="15"/>
        <v>0</v>
      </c>
      <c r="Y17" s="20">
        <f t="shared" si="6"/>
        <v>0</v>
      </c>
      <c r="Z17" s="20">
        <f t="shared" si="7"/>
        <v>0</v>
      </c>
      <c r="AA17" s="20">
        <f t="shared" si="16"/>
        <v>0</v>
      </c>
      <c r="AB17" s="20">
        <f t="shared" si="8"/>
        <v>0</v>
      </c>
      <c r="AC17" s="55">
        <v>0</v>
      </c>
      <c r="AD17" s="22"/>
      <c r="AE17" s="20">
        <f t="shared" si="9"/>
        <v>0</v>
      </c>
      <c r="AF17" s="22"/>
      <c r="AG17" s="32">
        <f t="shared" si="10"/>
        <v>16920</v>
      </c>
      <c r="AH17" s="23">
        <v>16920</v>
      </c>
      <c r="AI17" s="33">
        <f t="shared" si="11"/>
        <v>0</v>
      </c>
    </row>
    <row r="18" spans="1:35" s="25" customFormat="1">
      <c r="A18" s="29" t="s">
        <v>56</v>
      </c>
      <c r="B18" s="3" t="s">
        <v>116</v>
      </c>
      <c r="C18" s="26" t="s">
        <v>128</v>
      </c>
      <c r="D18" s="69">
        <v>39508</v>
      </c>
      <c r="E18" s="18" t="s">
        <v>16</v>
      </c>
      <c r="F18" s="19">
        <f>8500/E$7*E18</f>
        <v>8500</v>
      </c>
      <c r="G18" s="19">
        <f>5250/E$7*E18</f>
        <v>5250</v>
      </c>
      <c r="H18" s="19">
        <f t="shared" si="12"/>
        <v>800</v>
      </c>
      <c r="I18" s="19">
        <f t="shared" si="13"/>
        <v>1250</v>
      </c>
      <c r="J18" s="19">
        <f t="shared" si="0"/>
        <v>0</v>
      </c>
      <c r="K18" s="19">
        <f>(1200)/E$7*E18</f>
        <v>1200</v>
      </c>
      <c r="L18" s="19">
        <f t="shared" si="1"/>
        <v>17000</v>
      </c>
      <c r="M18" s="20">
        <v>0</v>
      </c>
      <c r="N18" s="20">
        <f t="shared" si="2"/>
        <v>0</v>
      </c>
      <c r="O18" s="20">
        <v>0</v>
      </c>
      <c r="P18" s="20">
        <v>200</v>
      </c>
      <c r="Q18" s="20">
        <v>0</v>
      </c>
      <c r="R18" s="20">
        <f t="shared" si="3"/>
        <v>200</v>
      </c>
      <c r="S18" s="20">
        <f t="shared" si="4"/>
        <v>16800</v>
      </c>
      <c r="T18" s="21" t="s">
        <v>33</v>
      </c>
      <c r="U18" s="30" t="s">
        <v>131</v>
      </c>
      <c r="V18" s="20">
        <f t="shared" si="5"/>
        <v>0</v>
      </c>
      <c r="W18" s="20">
        <f t="shared" si="14"/>
        <v>0</v>
      </c>
      <c r="X18" s="20">
        <f t="shared" si="15"/>
        <v>0</v>
      </c>
      <c r="Y18" s="20">
        <f t="shared" si="6"/>
        <v>0</v>
      </c>
      <c r="Z18" s="20">
        <f t="shared" si="7"/>
        <v>0</v>
      </c>
      <c r="AA18" s="20">
        <f t="shared" si="16"/>
        <v>0</v>
      </c>
      <c r="AB18" s="20">
        <f t="shared" si="8"/>
        <v>0</v>
      </c>
      <c r="AC18" s="55">
        <v>0</v>
      </c>
      <c r="AD18" s="22"/>
      <c r="AE18" s="20"/>
      <c r="AF18" s="22"/>
      <c r="AG18" s="32">
        <f t="shared" si="10"/>
        <v>17000</v>
      </c>
      <c r="AH18" s="23">
        <f>204000/12</f>
        <v>17000</v>
      </c>
      <c r="AI18" s="33">
        <f t="shared" si="11"/>
        <v>0</v>
      </c>
    </row>
    <row r="19" spans="1:35" s="25" customFormat="1">
      <c r="A19" s="70" t="s">
        <v>57</v>
      </c>
      <c r="B19" s="3" t="s">
        <v>117</v>
      </c>
      <c r="C19" s="26" t="s">
        <v>128</v>
      </c>
      <c r="D19" s="28" t="s">
        <v>58</v>
      </c>
      <c r="E19" s="18" t="s">
        <v>16</v>
      </c>
      <c r="F19" s="19">
        <f>20250/E$7*E19</f>
        <v>20250</v>
      </c>
      <c r="G19" s="19">
        <f>10125/E$7*E19</f>
        <v>10125</v>
      </c>
      <c r="H19" s="19">
        <f t="shared" si="12"/>
        <v>800</v>
      </c>
      <c r="I19" s="19">
        <f>0/E$7*E19</f>
        <v>0</v>
      </c>
      <c r="J19" s="19">
        <f>1625/E$7*E19</f>
        <v>1625</v>
      </c>
      <c r="K19" s="19">
        <f>(21721+3000+479)/E$7*E19</f>
        <v>25200</v>
      </c>
      <c r="L19" s="19">
        <f t="shared" si="1"/>
        <v>58000</v>
      </c>
      <c r="M19" s="20">
        <v>0</v>
      </c>
      <c r="N19" s="20">
        <f t="shared" si="2"/>
        <v>0</v>
      </c>
      <c r="O19" s="20">
        <v>2652</v>
      </c>
      <c r="P19" s="20">
        <v>200</v>
      </c>
      <c r="Q19" s="20">
        <v>0</v>
      </c>
      <c r="R19" s="20">
        <f t="shared" si="3"/>
        <v>2852</v>
      </c>
      <c r="S19" s="20">
        <f t="shared" si="4"/>
        <v>55148</v>
      </c>
      <c r="T19" s="21" t="s">
        <v>33</v>
      </c>
      <c r="U19" s="67">
        <v>0</v>
      </c>
      <c r="V19" s="20">
        <f t="shared" si="5"/>
        <v>0</v>
      </c>
      <c r="W19" s="20">
        <f>4750/E$7*E19</f>
        <v>4750</v>
      </c>
      <c r="X19" s="20">
        <f t="shared" si="15"/>
        <v>0</v>
      </c>
      <c r="Y19" s="20">
        <f>1250/E$7*E19</f>
        <v>1250</v>
      </c>
      <c r="Z19" s="20">
        <f t="shared" si="7"/>
        <v>0</v>
      </c>
      <c r="AA19" s="20">
        <f>1000/E$7*E19</f>
        <v>1000.0000000000001</v>
      </c>
      <c r="AB19" s="20">
        <f t="shared" si="8"/>
        <v>7000</v>
      </c>
      <c r="AC19" s="55">
        <v>0</v>
      </c>
      <c r="AD19" s="22"/>
      <c r="AE19" s="20">
        <f>+M19</f>
        <v>0</v>
      </c>
      <c r="AF19" s="22"/>
      <c r="AG19" s="32">
        <f t="shared" si="10"/>
        <v>65000</v>
      </c>
      <c r="AH19" s="23">
        <v>65000</v>
      </c>
      <c r="AI19" s="33">
        <f t="shared" si="11"/>
        <v>0</v>
      </c>
    </row>
    <row r="20" spans="1:35" s="25" customFormat="1">
      <c r="A20" s="29" t="s">
        <v>59</v>
      </c>
      <c r="B20" s="3" t="s">
        <v>118</v>
      </c>
      <c r="C20" s="26" t="s">
        <v>128</v>
      </c>
      <c r="D20" s="17"/>
      <c r="E20" s="18" t="s">
        <v>16</v>
      </c>
      <c r="F20" s="20">
        <f>7500/E$7*E20</f>
        <v>7500</v>
      </c>
      <c r="G20" s="20">
        <f>3750/E$7*E20</f>
        <v>3750</v>
      </c>
      <c r="H20" s="19">
        <f t="shared" si="12"/>
        <v>800</v>
      </c>
      <c r="I20" s="19">
        <f>1250/E$7*E20</f>
        <v>1250</v>
      </c>
      <c r="J20" s="19">
        <f t="shared" ref="J20:J27" si="17">0/E$7*E20</f>
        <v>0</v>
      </c>
      <c r="K20" s="19">
        <f>2100/E$7*E20</f>
        <v>2100</v>
      </c>
      <c r="L20" s="20">
        <f t="shared" si="1"/>
        <v>15400</v>
      </c>
      <c r="M20" s="20">
        <v>0</v>
      </c>
      <c r="N20" s="20">
        <f t="shared" si="2"/>
        <v>0</v>
      </c>
      <c r="O20" s="20">
        <v>0</v>
      </c>
      <c r="P20" s="20">
        <v>200</v>
      </c>
      <c r="Q20" s="20">
        <v>2000</v>
      </c>
      <c r="R20" s="20">
        <f>SUM(M20:Q20)</f>
        <v>2200</v>
      </c>
      <c r="S20" s="20">
        <f t="shared" si="4"/>
        <v>13200</v>
      </c>
      <c r="T20" s="21" t="s">
        <v>33</v>
      </c>
      <c r="U20" s="62">
        <v>0</v>
      </c>
      <c r="V20" s="20">
        <f t="shared" si="5"/>
        <v>0</v>
      </c>
      <c r="W20" s="20">
        <f>0/E$7*E20</f>
        <v>0</v>
      </c>
      <c r="X20" s="20">
        <f t="shared" si="15"/>
        <v>0</v>
      </c>
      <c r="Y20" s="20">
        <f t="shared" ref="Y20:Y26" si="18">0/E$7*E20</f>
        <v>0</v>
      </c>
      <c r="Z20" s="20">
        <f t="shared" si="7"/>
        <v>0</v>
      </c>
      <c r="AA20" s="20">
        <f>0/E$7*E20</f>
        <v>0</v>
      </c>
      <c r="AB20" s="20">
        <f t="shared" si="8"/>
        <v>0</v>
      </c>
      <c r="AC20" s="55">
        <v>0</v>
      </c>
      <c r="AD20" s="22"/>
      <c r="AE20" s="20"/>
      <c r="AF20" s="22"/>
      <c r="AG20" s="32">
        <f t="shared" si="10"/>
        <v>15400</v>
      </c>
      <c r="AH20" s="23">
        <f>184800/12</f>
        <v>15400</v>
      </c>
      <c r="AI20" s="33">
        <f t="shared" si="11"/>
        <v>0</v>
      </c>
    </row>
    <row r="21" spans="1:35" s="25" customFormat="1">
      <c r="A21" s="29" t="s">
        <v>60</v>
      </c>
      <c r="B21" s="3" t="s">
        <v>119</v>
      </c>
      <c r="C21" s="26" t="s">
        <v>128</v>
      </c>
      <c r="D21" s="71">
        <v>39546</v>
      </c>
      <c r="E21" s="18" t="s">
        <v>16</v>
      </c>
      <c r="F21" s="19">
        <f>9500/E$7*E21</f>
        <v>9500</v>
      </c>
      <c r="G21" s="19">
        <f>6000/E$7*E21</f>
        <v>6000</v>
      </c>
      <c r="H21" s="19">
        <f t="shared" si="12"/>
        <v>800</v>
      </c>
      <c r="I21" s="19">
        <f t="shared" ref="I21:I26" si="19">1250/E$7*E21</f>
        <v>1250</v>
      </c>
      <c r="J21" s="19">
        <f t="shared" si="17"/>
        <v>0</v>
      </c>
      <c r="K21" s="19">
        <f>(7950)/E$7*E21</f>
        <v>7950</v>
      </c>
      <c r="L21" s="19">
        <f t="shared" si="1"/>
        <v>25500</v>
      </c>
      <c r="M21" s="20">
        <v>0</v>
      </c>
      <c r="N21" s="20">
        <f t="shared" si="2"/>
        <v>0</v>
      </c>
      <c r="O21" s="20">
        <v>0</v>
      </c>
      <c r="P21" s="20">
        <v>200</v>
      </c>
      <c r="Q21" s="20">
        <v>0</v>
      </c>
      <c r="R21" s="20">
        <f t="shared" ref="R21:R27" si="20">+M21+N21+Q21+O21+P21</f>
        <v>200</v>
      </c>
      <c r="S21" s="20">
        <f t="shared" si="4"/>
        <v>25300</v>
      </c>
      <c r="T21" s="21" t="s">
        <v>33</v>
      </c>
      <c r="U21" s="30" t="s">
        <v>131</v>
      </c>
      <c r="V21" s="20">
        <f t="shared" si="5"/>
        <v>0</v>
      </c>
      <c r="W21" s="20">
        <f>0/E$7*E21</f>
        <v>0</v>
      </c>
      <c r="X21" s="20">
        <f t="shared" si="15"/>
        <v>0</v>
      </c>
      <c r="Y21" s="20">
        <f t="shared" si="18"/>
        <v>0</v>
      </c>
      <c r="Z21" s="20">
        <f t="shared" si="7"/>
        <v>0</v>
      </c>
      <c r="AA21" s="20">
        <f>0/E$7*E21</f>
        <v>0</v>
      </c>
      <c r="AB21" s="20">
        <f t="shared" si="8"/>
        <v>0</v>
      </c>
      <c r="AC21" s="55">
        <v>0</v>
      </c>
      <c r="AD21" s="22"/>
      <c r="AE21" s="20">
        <f t="shared" ref="AE21:AE27" si="21">+M21</f>
        <v>0</v>
      </c>
      <c r="AF21" s="22"/>
      <c r="AG21" s="32">
        <f t="shared" si="10"/>
        <v>25500</v>
      </c>
      <c r="AH21" s="23">
        <f>306000/12</f>
        <v>25500</v>
      </c>
      <c r="AI21" s="56">
        <f t="shared" si="11"/>
        <v>0</v>
      </c>
    </row>
    <row r="22" spans="1:35" s="25" customFormat="1">
      <c r="A22" s="29" t="s">
        <v>61</v>
      </c>
      <c r="B22" s="3" t="s">
        <v>120</v>
      </c>
      <c r="C22" s="26" t="s">
        <v>128</v>
      </c>
      <c r="D22" s="71">
        <v>39539</v>
      </c>
      <c r="E22" s="18" t="s">
        <v>16</v>
      </c>
      <c r="F22" s="19">
        <f>10000/E$7*E22</f>
        <v>10000</v>
      </c>
      <c r="G22" s="19">
        <f>5000/E$7*E22</f>
        <v>5000</v>
      </c>
      <c r="H22" s="19">
        <f t="shared" si="12"/>
        <v>800</v>
      </c>
      <c r="I22" s="19">
        <f t="shared" si="19"/>
        <v>1250</v>
      </c>
      <c r="J22" s="19">
        <f t="shared" si="17"/>
        <v>0</v>
      </c>
      <c r="K22" s="19">
        <f>2950/E$7*E22</f>
        <v>2950</v>
      </c>
      <c r="L22" s="19">
        <f t="shared" si="1"/>
        <v>20000</v>
      </c>
      <c r="M22" s="20">
        <v>0</v>
      </c>
      <c r="N22" s="20">
        <f t="shared" si="2"/>
        <v>0</v>
      </c>
      <c r="O22" s="20">
        <v>0</v>
      </c>
      <c r="P22" s="20">
        <v>200</v>
      </c>
      <c r="Q22" s="20">
        <v>0</v>
      </c>
      <c r="R22" s="20">
        <f t="shared" si="20"/>
        <v>200</v>
      </c>
      <c r="S22" s="20">
        <f t="shared" si="4"/>
        <v>19800</v>
      </c>
      <c r="T22" s="21" t="s">
        <v>33</v>
      </c>
      <c r="U22" s="67">
        <v>0</v>
      </c>
      <c r="V22" s="20">
        <f t="shared" si="5"/>
        <v>0</v>
      </c>
      <c r="W22" s="20">
        <f>0/E$7*E22</f>
        <v>0</v>
      </c>
      <c r="X22" s="20">
        <f t="shared" si="15"/>
        <v>0</v>
      </c>
      <c r="Y22" s="20">
        <f t="shared" si="18"/>
        <v>0</v>
      </c>
      <c r="Z22" s="20">
        <f t="shared" si="7"/>
        <v>0</v>
      </c>
      <c r="AA22" s="20">
        <f>0/E$7*E22</f>
        <v>0</v>
      </c>
      <c r="AB22" s="20">
        <f t="shared" si="8"/>
        <v>0</v>
      </c>
      <c r="AC22" s="55">
        <v>0</v>
      </c>
      <c r="AD22" s="22"/>
      <c r="AE22" s="20">
        <f t="shared" si="21"/>
        <v>0</v>
      </c>
      <c r="AF22" s="22"/>
      <c r="AG22" s="32">
        <f t="shared" si="10"/>
        <v>20000</v>
      </c>
      <c r="AH22" s="23">
        <f>240000/12</f>
        <v>20000</v>
      </c>
      <c r="AI22" s="56">
        <f t="shared" si="11"/>
        <v>0</v>
      </c>
    </row>
    <row r="23" spans="1:35" s="25" customFormat="1">
      <c r="A23" s="72" t="s">
        <v>62</v>
      </c>
      <c r="B23" s="3" t="s">
        <v>121</v>
      </c>
      <c r="C23" s="26" t="s">
        <v>128</v>
      </c>
      <c r="D23" s="57">
        <v>39564</v>
      </c>
      <c r="E23" s="18" t="s">
        <v>16</v>
      </c>
      <c r="F23" s="19">
        <f>13125/E$7*E23</f>
        <v>13125</v>
      </c>
      <c r="G23" s="19">
        <f>6563/E$7*E23</f>
        <v>6563</v>
      </c>
      <c r="H23" s="19">
        <f t="shared" si="12"/>
        <v>800</v>
      </c>
      <c r="I23" s="19">
        <f t="shared" si="19"/>
        <v>1250</v>
      </c>
      <c r="J23" s="19">
        <f t="shared" si="17"/>
        <v>0</v>
      </c>
      <c r="K23" s="19">
        <f>(12013+185)/E$7*E23</f>
        <v>12198</v>
      </c>
      <c r="L23" s="19">
        <f t="shared" si="1"/>
        <v>33936</v>
      </c>
      <c r="M23" s="20">
        <v>0</v>
      </c>
      <c r="N23" s="20">
        <f t="shared" si="2"/>
        <v>0</v>
      </c>
      <c r="O23" s="20">
        <v>0</v>
      </c>
      <c r="P23" s="20">
        <v>200</v>
      </c>
      <c r="Q23" s="20">
        <v>0</v>
      </c>
      <c r="R23" s="20">
        <f t="shared" si="20"/>
        <v>200</v>
      </c>
      <c r="S23" s="20">
        <f t="shared" si="4"/>
        <v>33736</v>
      </c>
      <c r="T23" s="21" t="s">
        <v>33</v>
      </c>
      <c r="U23" s="67">
        <v>0</v>
      </c>
      <c r="V23" s="20">
        <f t="shared" si="5"/>
        <v>0</v>
      </c>
      <c r="W23" s="20">
        <f>3000/E$7*E23</f>
        <v>3000</v>
      </c>
      <c r="X23" s="20">
        <f t="shared" si="15"/>
        <v>0</v>
      </c>
      <c r="Y23" s="20">
        <f t="shared" si="18"/>
        <v>0</v>
      </c>
      <c r="Z23" s="20">
        <f t="shared" si="7"/>
        <v>0</v>
      </c>
      <c r="AA23" s="20">
        <f>564/E$7*E23</f>
        <v>564</v>
      </c>
      <c r="AB23" s="20">
        <f t="shared" si="8"/>
        <v>3564</v>
      </c>
      <c r="AC23" s="55"/>
      <c r="AD23" s="22"/>
      <c r="AE23" s="20">
        <f t="shared" si="21"/>
        <v>0</v>
      </c>
      <c r="AF23" s="22"/>
      <c r="AG23" s="32">
        <f t="shared" si="10"/>
        <v>37500</v>
      </c>
      <c r="AH23" s="23">
        <f>450000/12</f>
        <v>37500</v>
      </c>
      <c r="AI23" s="56">
        <f t="shared" si="11"/>
        <v>0</v>
      </c>
    </row>
    <row r="24" spans="1:35" s="25" customFormat="1">
      <c r="A24" s="70" t="s">
        <v>63</v>
      </c>
      <c r="B24" s="3" t="s">
        <v>122</v>
      </c>
      <c r="C24" s="26" t="s">
        <v>128</v>
      </c>
      <c r="D24" s="73">
        <v>39688</v>
      </c>
      <c r="E24" s="18" t="s">
        <v>16</v>
      </c>
      <c r="F24" s="19">
        <f>12000/E$7*E24</f>
        <v>12000</v>
      </c>
      <c r="G24" s="19">
        <f>6000/E$7*E24</f>
        <v>6000</v>
      </c>
      <c r="H24" s="19">
        <f t="shared" si="12"/>
        <v>800</v>
      </c>
      <c r="I24" s="19">
        <f t="shared" si="19"/>
        <v>1250</v>
      </c>
      <c r="J24" s="19">
        <f t="shared" si="17"/>
        <v>0</v>
      </c>
      <c r="K24" s="19">
        <f>3950/E$7*E24</f>
        <v>3949.9999999999995</v>
      </c>
      <c r="L24" s="19">
        <f t="shared" si="1"/>
        <v>24000</v>
      </c>
      <c r="M24" s="20">
        <v>0</v>
      </c>
      <c r="N24" s="20">
        <f t="shared" si="2"/>
        <v>0</v>
      </c>
      <c r="O24" s="20">
        <v>0</v>
      </c>
      <c r="P24" s="20">
        <v>200</v>
      </c>
      <c r="Q24" s="20">
        <v>0</v>
      </c>
      <c r="R24" s="20">
        <f t="shared" si="20"/>
        <v>200</v>
      </c>
      <c r="S24" s="20">
        <f t="shared" si="4"/>
        <v>23800</v>
      </c>
      <c r="T24" s="21" t="s">
        <v>33</v>
      </c>
      <c r="U24" s="74">
        <v>0</v>
      </c>
      <c r="V24" s="20">
        <f t="shared" si="5"/>
        <v>0</v>
      </c>
      <c r="W24" s="20">
        <f>0/E$7*E24</f>
        <v>0</v>
      </c>
      <c r="X24" s="20">
        <f t="shared" si="15"/>
        <v>0</v>
      </c>
      <c r="Y24" s="20">
        <f t="shared" si="18"/>
        <v>0</v>
      </c>
      <c r="Z24" s="20">
        <f t="shared" si="7"/>
        <v>0</v>
      </c>
      <c r="AA24" s="20">
        <f>0/E$7*E24</f>
        <v>0</v>
      </c>
      <c r="AB24" s="20">
        <f t="shared" si="8"/>
        <v>0</v>
      </c>
      <c r="AC24" s="55"/>
      <c r="AD24" s="22"/>
      <c r="AE24" s="20">
        <f t="shared" si="21"/>
        <v>0</v>
      </c>
      <c r="AF24" s="22"/>
      <c r="AG24" s="32">
        <f t="shared" si="10"/>
        <v>24000</v>
      </c>
      <c r="AH24" s="23">
        <f>288000/12</f>
        <v>24000</v>
      </c>
      <c r="AI24" s="56">
        <f t="shared" si="11"/>
        <v>0</v>
      </c>
    </row>
    <row r="25" spans="1:35" s="25" customFormat="1">
      <c r="A25" s="29" t="s">
        <v>64</v>
      </c>
      <c r="B25" s="2" t="s">
        <v>123</v>
      </c>
      <c r="C25" s="26" t="s">
        <v>128</v>
      </c>
      <c r="D25" s="58" t="s">
        <v>65</v>
      </c>
      <c r="E25" s="18" t="s">
        <v>16</v>
      </c>
      <c r="F25" s="19">
        <f>11200/E$7*E25</f>
        <v>11200</v>
      </c>
      <c r="G25" s="19">
        <f>5600/E$7*E25</f>
        <v>5600</v>
      </c>
      <c r="H25" s="19">
        <f t="shared" si="12"/>
        <v>800</v>
      </c>
      <c r="I25" s="19">
        <f t="shared" si="19"/>
        <v>1250</v>
      </c>
      <c r="J25" s="19">
        <f t="shared" si="17"/>
        <v>0</v>
      </c>
      <c r="K25" s="19">
        <f>(9752+198)/E$7*E25</f>
        <v>9950</v>
      </c>
      <c r="L25" s="19">
        <f t="shared" si="1"/>
        <v>28800</v>
      </c>
      <c r="M25" s="20">
        <v>0</v>
      </c>
      <c r="N25" s="20">
        <f t="shared" si="2"/>
        <v>0</v>
      </c>
      <c r="O25" s="20">
        <v>0</v>
      </c>
      <c r="P25" s="20">
        <v>200</v>
      </c>
      <c r="Q25" s="20">
        <v>0</v>
      </c>
      <c r="R25" s="20">
        <f t="shared" si="20"/>
        <v>200</v>
      </c>
      <c r="S25" s="20">
        <f t="shared" si="4"/>
        <v>28600</v>
      </c>
      <c r="T25" s="21" t="s">
        <v>33</v>
      </c>
      <c r="U25" s="30" t="s">
        <v>131</v>
      </c>
      <c r="V25" s="20">
        <f t="shared" si="5"/>
        <v>0</v>
      </c>
      <c r="W25" s="20">
        <f>2200/E$7*E25</f>
        <v>2200</v>
      </c>
      <c r="X25" s="20">
        <f t="shared" si="15"/>
        <v>0</v>
      </c>
      <c r="Y25" s="20">
        <f t="shared" si="18"/>
        <v>0</v>
      </c>
      <c r="Z25" s="20">
        <f t="shared" si="7"/>
        <v>0</v>
      </c>
      <c r="AA25" s="20">
        <f>1000/E$7*E25</f>
        <v>1000.0000000000001</v>
      </c>
      <c r="AB25" s="20">
        <f t="shared" si="8"/>
        <v>3200</v>
      </c>
      <c r="AC25" s="55">
        <v>0</v>
      </c>
      <c r="AD25" s="22">
        <v>0</v>
      </c>
      <c r="AE25" s="20">
        <f t="shared" si="21"/>
        <v>0</v>
      </c>
      <c r="AF25" s="22"/>
      <c r="AG25" s="32">
        <f t="shared" si="10"/>
        <v>32000</v>
      </c>
      <c r="AH25" s="23">
        <f>384000/12</f>
        <v>32000</v>
      </c>
      <c r="AI25" s="56">
        <f t="shared" si="11"/>
        <v>0</v>
      </c>
    </row>
    <row r="26" spans="1:35" s="25" customFormat="1">
      <c r="A26" s="29" t="s">
        <v>66</v>
      </c>
      <c r="B26" s="2" t="s">
        <v>124</v>
      </c>
      <c r="C26" s="26" t="s">
        <v>128</v>
      </c>
      <c r="D26" s="58" t="s">
        <v>67</v>
      </c>
      <c r="E26" s="18" t="s">
        <v>16</v>
      </c>
      <c r="F26" s="19">
        <f>8000/E$7*E26</f>
        <v>8000.0000000000009</v>
      </c>
      <c r="G26" s="19">
        <f>5000/E$7*E26</f>
        <v>5000</v>
      </c>
      <c r="H26" s="19">
        <f t="shared" si="12"/>
        <v>800</v>
      </c>
      <c r="I26" s="19">
        <f t="shared" si="19"/>
        <v>1250</v>
      </c>
      <c r="J26" s="19">
        <f t="shared" si="17"/>
        <v>0</v>
      </c>
      <c r="K26" s="19">
        <f>(6950)/E$7*E26</f>
        <v>6950</v>
      </c>
      <c r="L26" s="19">
        <f t="shared" si="1"/>
        <v>22000</v>
      </c>
      <c r="M26" s="20">
        <v>0</v>
      </c>
      <c r="N26" s="20">
        <f t="shared" si="2"/>
        <v>0</v>
      </c>
      <c r="O26" s="20">
        <v>0</v>
      </c>
      <c r="P26" s="20">
        <v>200</v>
      </c>
      <c r="Q26" s="20">
        <v>0</v>
      </c>
      <c r="R26" s="20">
        <f t="shared" si="20"/>
        <v>200</v>
      </c>
      <c r="S26" s="20">
        <f t="shared" si="4"/>
        <v>21800</v>
      </c>
      <c r="T26" s="21" t="s">
        <v>33</v>
      </c>
      <c r="U26" s="30" t="s">
        <v>131</v>
      </c>
      <c r="V26" s="20">
        <f t="shared" si="5"/>
        <v>0</v>
      </c>
      <c r="W26" s="20">
        <f>0/E$7*E26</f>
        <v>0</v>
      </c>
      <c r="X26" s="20">
        <f t="shared" si="15"/>
        <v>0</v>
      </c>
      <c r="Y26" s="20">
        <f t="shared" si="18"/>
        <v>0</v>
      </c>
      <c r="Z26" s="20">
        <f t="shared" si="7"/>
        <v>0</v>
      </c>
      <c r="AA26" s="20">
        <f>0/E$7*E26</f>
        <v>0</v>
      </c>
      <c r="AB26" s="20">
        <f t="shared" si="8"/>
        <v>0</v>
      </c>
      <c r="AC26" s="55">
        <v>0</v>
      </c>
      <c r="AD26" s="22">
        <v>0</v>
      </c>
      <c r="AE26" s="20">
        <f t="shared" si="21"/>
        <v>0</v>
      </c>
      <c r="AF26" s="22"/>
      <c r="AG26" s="32">
        <f t="shared" si="10"/>
        <v>22000</v>
      </c>
      <c r="AH26" s="23">
        <f>264000/12</f>
        <v>22000</v>
      </c>
      <c r="AI26" s="56">
        <f t="shared" si="11"/>
        <v>0</v>
      </c>
    </row>
    <row r="27" spans="1:35" s="25" customFormat="1" ht="13.5" thickBot="1">
      <c r="A27" s="29" t="s">
        <v>68</v>
      </c>
      <c r="B27" s="2" t="s">
        <v>125</v>
      </c>
      <c r="C27" s="26" t="s">
        <v>128</v>
      </c>
      <c r="D27" s="58" t="s">
        <v>69</v>
      </c>
      <c r="E27" s="18" t="s">
        <v>16</v>
      </c>
      <c r="F27" s="19">
        <f>14000/E$7*E27</f>
        <v>14000</v>
      </c>
      <c r="G27" s="19">
        <f>7000/E$7*E27</f>
        <v>7000</v>
      </c>
      <c r="H27" s="19">
        <f t="shared" si="12"/>
        <v>800</v>
      </c>
      <c r="I27" s="19">
        <f>0/E$7*E27</f>
        <v>0</v>
      </c>
      <c r="J27" s="19">
        <f t="shared" si="17"/>
        <v>0</v>
      </c>
      <c r="K27" s="19">
        <f>29200/E$7*E27</f>
        <v>29200</v>
      </c>
      <c r="L27" s="19">
        <f t="shared" si="1"/>
        <v>51000</v>
      </c>
      <c r="M27" s="20">
        <v>0</v>
      </c>
      <c r="N27" s="20">
        <f t="shared" si="2"/>
        <v>0</v>
      </c>
      <c r="O27" s="20">
        <v>2929</v>
      </c>
      <c r="P27" s="20">
        <v>200</v>
      </c>
      <c r="Q27" s="20">
        <v>0</v>
      </c>
      <c r="R27" s="20">
        <f t="shared" si="20"/>
        <v>3129</v>
      </c>
      <c r="S27" s="20">
        <f t="shared" si="4"/>
        <v>47871</v>
      </c>
      <c r="T27" s="21" t="s">
        <v>33</v>
      </c>
      <c r="U27" s="30" t="s">
        <v>131</v>
      </c>
      <c r="V27" s="20">
        <f t="shared" si="5"/>
        <v>0</v>
      </c>
      <c r="W27" s="20">
        <f>4000/E$7*E27</f>
        <v>4000.0000000000005</v>
      </c>
      <c r="X27" s="20">
        <f t="shared" si="15"/>
        <v>0</v>
      </c>
      <c r="Y27" s="20">
        <f>1250/E$7*E27</f>
        <v>1250</v>
      </c>
      <c r="Z27" s="20">
        <f t="shared" si="7"/>
        <v>0</v>
      </c>
      <c r="AA27" s="20">
        <f>1750/E$7*E27</f>
        <v>1750</v>
      </c>
      <c r="AB27" s="20">
        <f t="shared" si="8"/>
        <v>7000</v>
      </c>
      <c r="AC27" s="55">
        <v>0</v>
      </c>
      <c r="AD27" s="22">
        <v>0</v>
      </c>
      <c r="AE27" s="20">
        <f t="shared" si="21"/>
        <v>0</v>
      </c>
      <c r="AF27" s="22"/>
      <c r="AG27" s="32">
        <f t="shared" si="10"/>
        <v>58000</v>
      </c>
      <c r="AH27" s="23">
        <f>696000/12</f>
        <v>58000</v>
      </c>
      <c r="AI27" s="56">
        <f t="shared" si="11"/>
        <v>0</v>
      </c>
    </row>
    <row r="28" spans="1:35" s="81" customFormat="1" ht="15.75" thickBot="1">
      <c r="A28" s="75"/>
      <c r="B28" s="60" t="s">
        <v>34</v>
      </c>
      <c r="C28" s="76"/>
      <c r="D28" s="77"/>
      <c r="E28" s="78"/>
      <c r="F28" s="61">
        <f>SUM(F8:F27)</f>
        <v>196875</v>
      </c>
      <c r="G28" s="61">
        <f>SUM(G8:G27)</f>
        <v>105188</v>
      </c>
      <c r="H28" s="61">
        <f>SUM(H8:H27)</f>
        <v>16000</v>
      </c>
      <c r="I28" s="61">
        <f>SUM(I8:I27)</f>
        <v>22500</v>
      </c>
      <c r="J28" s="61">
        <f>SUM(J8:J27)</f>
        <v>1625</v>
      </c>
      <c r="K28" s="61">
        <f>SUM(K8:K27)</f>
        <v>168858</v>
      </c>
      <c r="L28" s="61">
        <f>SUM(L8:L27)</f>
        <v>511046</v>
      </c>
      <c r="M28" s="61">
        <f>SUM(M8:M27)</f>
        <v>0</v>
      </c>
      <c r="N28" s="61">
        <f>SUM(N8:N27)</f>
        <v>0</v>
      </c>
      <c r="O28" s="61">
        <f>SUM(O8:O27)</f>
        <v>7632</v>
      </c>
      <c r="P28" s="61">
        <f>SUM(P8:P27)</f>
        <v>4000</v>
      </c>
      <c r="Q28" s="61">
        <f>SUM(Q8:Q27)</f>
        <v>2000</v>
      </c>
      <c r="R28" s="61">
        <f>SUM(R8:R27)</f>
        <v>13632</v>
      </c>
      <c r="S28" s="61">
        <f>SUM(S8:S27)</f>
        <v>497414</v>
      </c>
      <c r="T28" s="61">
        <f>SUM(T8:T27)</f>
        <v>0</v>
      </c>
      <c r="U28" s="61">
        <f>SUM(U8:U27)</f>
        <v>0</v>
      </c>
      <c r="V28" s="61">
        <f>SUM(V8:V27)</f>
        <v>0</v>
      </c>
      <c r="W28" s="61">
        <f>SUM(W8:W27)</f>
        <v>16950</v>
      </c>
      <c r="X28" s="61">
        <f>SUM(X8:X27)</f>
        <v>0</v>
      </c>
      <c r="Y28" s="61">
        <f>SUM(Y8:Y27)</f>
        <v>2500</v>
      </c>
      <c r="Z28" s="61">
        <f>SUM(Z8:Z27)</f>
        <v>0</v>
      </c>
      <c r="AA28" s="61">
        <f>SUM(AA8:AA27)</f>
        <v>5314</v>
      </c>
      <c r="AB28" s="61">
        <f>SUM(AB8:AB27)</f>
        <v>24764</v>
      </c>
      <c r="AC28" s="61">
        <f>SUM(AC8:AC27)</f>
        <v>0</v>
      </c>
      <c r="AD28" s="61">
        <f>SUM(AD8:AD27)</f>
        <v>0</v>
      </c>
      <c r="AE28" s="61">
        <f>SUM(AE8:AE27)</f>
        <v>0</v>
      </c>
      <c r="AF28" s="61">
        <f>SUM(AF8:AF27)</f>
        <v>0</v>
      </c>
      <c r="AG28" s="61">
        <f>SUM(AG8:AG27)</f>
        <v>535810</v>
      </c>
      <c r="AH28" s="79"/>
      <c r="AI28" s="80"/>
    </row>
    <row r="29" spans="1:35" s="25" customFormat="1">
      <c r="A29" s="29"/>
      <c r="B29" s="1"/>
      <c r="C29" s="26"/>
      <c r="D29" s="58"/>
      <c r="E29" s="18"/>
      <c r="F29" s="19"/>
      <c r="G29" s="19"/>
      <c r="H29" s="19"/>
      <c r="I29" s="19"/>
      <c r="J29" s="19"/>
      <c r="K29" s="19"/>
      <c r="L29" s="19"/>
      <c r="M29" s="20"/>
      <c r="N29" s="20"/>
      <c r="O29" s="20"/>
      <c r="P29" s="20"/>
      <c r="Q29" s="20"/>
      <c r="R29" s="20"/>
      <c r="S29" s="20"/>
      <c r="T29" s="21"/>
      <c r="U29" s="30"/>
      <c r="V29" s="22"/>
      <c r="W29" s="22"/>
      <c r="X29" s="22"/>
      <c r="Y29" s="22"/>
      <c r="Z29" s="22"/>
      <c r="AA29" s="22"/>
      <c r="AB29" s="64"/>
      <c r="AC29" s="82"/>
      <c r="AD29" s="22"/>
      <c r="AE29" s="20"/>
      <c r="AF29" s="22"/>
      <c r="AG29" s="56"/>
      <c r="AH29" s="26"/>
      <c r="AI29" s="33"/>
    </row>
    <row r="30" spans="1:35" s="25" customFormat="1">
      <c r="A30" s="29"/>
      <c r="B30" s="3"/>
      <c r="C30" s="31"/>
      <c r="D30" s="59"/>
      <c r="E30" s="18"/>
      <c r="F30" s="19"/>
      <c r="G30" s="19"/>
      <c r="H30" s="19"/>
      <c r="I30" s="19"/>
      <c r="J30" s="19"/>
      <c r="K30" s="19"/>
      <c r="L30" s="19"/>
      <c r="M30" s="20"/>
      <c r="N30" s="20"/>
      <c r="O30" s="20"/>
      <c r="P30" s="20"/>
      <c r="Q30" s="20"/>
      <c r="R30" s="20"/>
      <c r="S30" s="20"/>
      <c r="T30" s="21"/>
      <c r="U30" s="24"/>
      <c r="V30" s="22"/>
      <c r="W30" s="22"/>
      <c r="X30" s="22"/>
      <c r="Y30" s="22"/>
      <c r="Z30" s="22"/>
      <c r="AA30" s="22"/>
      <c r="AB30" s="64"/>
      <c r="AC30" s="82"/>
      <c r="AD30" s="22"/>
      <c r="AE30" s="20"/>
      <c r="AF30" s="20"/>
      <c r="AG30" s="56"/>
      <c r="AH30" s="26"/>
      <c r="AI30" s="33"/>
    </row>
    <row r="31" spans="1:35" s="25" customFormat="1">
      <c r="A31" s="29"/>
      <c r="B31" s="3"/>
      <c r="C31" s="31"/>
      <c r="D31" s="59"/>
      <c r="E31" s="18"/>
      <c r="F31" s="19"/>
      <c r="G31" s="19"/>
      <c r="H31" s="19"/>
      <c r="I31" s="19"/>
      <c r="J31" s="19"/>
      <c r="K31" s="19"/>
      <c r="L31" s="19"/>
      <c r="M31" s="20"/>
      <c r="N31" s="20"/>
      <c r="O31" s="20"/>
      <c r="P31" s="20"/>
      <c r="Q31" s="20"/>
      <c r="R31" s="20"/>
      <c r="S31" s="20"/>
      <c r="T31" s="21"/>
      <c r="U31" s="24"/>
      <c r="V31" s="22"/>
      <c r="W31" s="22"/>
      <c r="X31" s="22"/>
      <c r="Y31" s="22"/>
      <c r="Z31" s="22"/>
      <c r="AA31" s="22"/>
      <c r="AB31" s="64"/>
      <c r="AC31" s="82"/>
      <c r="AD31" s="22"/>
      <c r="AE31" s="20"/>
      <c r="AF31" s="20"/>
      <c r="AG31" s="56"/>
      <c r="AH31" s="26"/>
      <c r="AI31" s="33"/>
    </row>
    <row r="32" spans="1:35" s="36" customFormat="1">
      <c r="A32" s="83"/>
      <c r="B32" s="83"/>
      <c r="C32" s="83"/>
      <c r="D32" s="84"/>
      <c r="E32" s="85"/>
      <c r="F32" s="86"/>
      <c r="G32" s="86"/>
      <c r="H32" s="86"/>
      <c r="I32" s="86"/>
      <c r="J32" s="86"/>
      <c r="K32" s="86"/>
      <c r="L32" s="86"/>
      <c r="M32" s="86"/>
      <c r="N32" s="87"/>
      <c r="O32" s="88"/>
      <c r="P32" s="88"/>
      <c r="Q32" s="88"/>
      <c r="R32" s="87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9"/>
    </row>
  </sheetData>
  <mergeCells count="8">
    <mergeCell ref="F6:K6"/>
    <mergeCell ref="M6:Q6"/>
    <mergeCell ref="V6:AA6"/>
    <mergeCell ref="A2:U2"/>
    <mergeCell ref="A3:U3"/>
    <mergeCell ref="V3:AG3"/>
    <mergeCell ref="A4:U4"/>
    <mergeCell ref="V4:A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Salary Slip</vt:lpstr>
      <vt:lpstr>Pay Roll</vt:lpstr>
    </vt:vector>
  </TitlesOfParts>
  <Company>LENOVO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manish.sharma</dc:creator>
  <cp:lastModifiedBy>Prabhakar</cp:lastModifiedBy>
  <cp:lastPrinted>2010-06-22T07:52:31Z</cp:lastPrinted>
  <dcterms:created xsi:type="dcterms:W3CDTF">2010-06-15T09:00:35Z</dcterms:created>
  <dcterms:modified xsi:type="dcterms:W3CDTF">2010-10-05T07:33:19Z</dcterms:modified>
</cp:coreProperties>
</file>